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pedchenko\Desktop\"/>
    </mc:Choice>
  </mc:AlternateContent>
  <xr:revisionPtr revIDLastSave="0" documentId="8_{F272711D-B816-427F-95C4-72B83AC2A0AC}" xr6:coauthVersionLast="47" xr6:coauthVersionMax="47" xr10:uidLastSave="{00000000-0000-0000-0000-000000000000}"/>
  <bookViews>
    <workbookView xWindow="28680" yWindow="-120" windowWidth="29040" windowHeight="16440" tabRatio="811" activeTab="11" xr2:uid="{00000000-000D-0000-FFFF-FFFF00000000}"/>
  </bookViews>
  <sheets>
    <sheet name="январь" sheetId="14" r:id="rId1"/>
    <sheet name="февраль" sheetId="12" r:id="rId2"/>
    <sheet name="март" sheetId="13" r:id="rId3"/>
    <sheet name="апрель" sheetId="2" r:id="rId4"/>
    <sheet name="май" sheetId="10" r:id="rId5"/>
    <sheet name="июнь" sheetId="11" r:id="rId6"/>
    <sheet name="июль" sheetId="9" r:id="rId7"/>
    <sheet name="август" sheetId="8" r:id="rId8"/>
    <sheet name="сентябрь " sheetId="7" r:id="rId9"/>
    <sheet name="октябрь" sheetId="4" r:id="rId10"/>
    <sheet name="ноябрь" sheetId="5" r:id="rId11"/>
    <sheet name="декабрь" sheetId="6" r:id="rId12"/>
  </sheets>
  <externalReferences>
    <externalReference r:id="rId13"/>
  </externalReferences>
  <definedNames>
    <definedName name="_xlnm._FilterDatabase" localSheetId="0" hidden="1">январь!$A$2:$A$38</definedName>
    <definedName name="_xlnm.Print_Area" localSheetId="11">декабрь!$A$1:$U$67</definedName>
    <definedName name="_xlnm.Print_Area" localSheetId="8">'сентябрь '!$A$1:$V$59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9" i="6" l="1"/>
  <c r="V10" i="6" s="1"/>
  <c r="V11" i="6" s="1"/>
  <c r="V12" i="6" s="1"/>
  <c r="V13" i="6" s="1"/>
  <c r="V14" i="6" s="1"/>
  <c r="V15" i="6" s="1"/>
  <c r="V16" i="6" s="1"/>
  <c r="V17" i="6" s="1"/>
  <c r="V18" i="6" s="1"/>
  <c r="V19" i="6" s="1"/>
  <c r="V20" i="6" s="1"/>
  <c r="V21" i="6" s="1"/>
  <c r="V22" i="6" s="1"/>
  <c r="V23" i="6" s="1"/>
  <c r="V24" i="6" s="1"/>
  <c r="V25" i="6" s="1"/>
  <c r="V26" i="6" s="1"/>
  <c r="V27" i="6" s="1"/>
  <c r="V28" i="6" s="1"/>
  <c r="V29" i="6" s="1"/>
  <c r="V30" i="6" s="1"/>
  <c r="V31" i="6" s="1"/>
  <c r="V32" i="6" s="1"/>
  <c r="V33" i="6" s="1"/>
  <c r="V34" i="6" s="1"/>
  <c r="V35" i="6" s="1"/>
  <c r="V36" i="6" s="1"/>
  <c r="V37" i="6" s="1"/>
  <c r="V38" i="6" s="1"/>
  <c r="V39" i="6" s="1"/>
  <c r="V40" i="6" s="1"/>
  <c r="V41" i="6" s="1"/>
  <c r="V42" i="6" s="1"/>
  <c r="V43" i="6" s="1"/>
  <c r="V44" i="6" s="1"/>
  <c r="V45" i="6" s="1"/>
  <c r="V46" i="6" s="1"/>
  <c r="V47" i="6" s="1"/>
  <c r="V48" i="6" s="1"/>
  <c r="V49" i="6" s="1"/>
  <c r="V50" i="6" s="1"/>
  <c r="V51" i="6" s="1"/>
  <c r="V52" i="6" s="1"/>
  <c r="V53" i="6" s="1"/>
  <c r="V9" i="14"/>
  <c r="V10" i="14" s="1"/>
  <c r="V11" i="14" s="1"/>
  <c r="V12" i="14" s="1"/>
  <c r="V13" i="14" s="1"/>
  <c r="V14" i="14" s="1"/>
  <c r="V15" i="14" s="1"/>
  <c r="V16" i="14" s="1"/>
  <c r="V17" i="14" s="1"/>
  <c r="V18" i="14" s="1"/>
  <c r="V19" i="14" s="1"/>
  <c r="V20" i="14" s="1"/>
  <c r="V21" i="14" s="1"/>
  <c r="V22" i="14" s="1"/>
  <c r="V23" i="14" s="1"/>
  <c r="V24" i="14" s="1"/>
  <c r="V25" i="14" s="1"/>
  <c r="V26" i="14" s="1"/>
  <c r="V27" i="14" s="1"/>
  <c r="V28" i="14" s="1"/>
  <c r="V29" i="14" s="1"/>
  <c r="V30" i="14" s="1"/>
  <c r="V31" i="14" s="1"/>
  <c r="V32" i="14" s="1"/>
  <c r="V33" i="14" s="1"/>
  <c r="B83" i="6"/>
  <c r="T48" i="4"/>
  <c r="T51" i="8"/>
  <c r="S51" i="8"/>
  <c r="R51" i="8"/>
  <c r="Q51" i="8"/>
  <c r="T50" i="9"/>
  <c r="S50" i="9"/>
  <c r="R50" i="9"/>
  <c r="Q50" i="9"/>
  <c r="T46" i="11"/>
  <c r="S46" i="11"/>
  <c r="R46" i="11"/>
  <c r="Q46" i="11"/>
  <c r="T45" i="10"/>
  <c r="S45" i="10"/>
  <c r="R45" i="10"/>
  <c r="Q45" i="10"/>
  <c r="U45" i="10" s="1"/>
  <c r="T45" i="2"/>
  <c r="S45" i="2"/>
  <c r="R45" i="2"/>
  <c r="Q45" i="2"/>
  <c r="T44" i="13"/>
  <c r="S44" i="13"/>
  <c r="R44" i="13"/>
  <c r="Q44" i="13"/>
  <c r="T43" i="12"/>
  <c r="S43" i="12"/>
  <c r="R43" i="12"/>
  <c r="Q43" i="12"/>
  <c r="T39" i="14"/>
  <c r="S39" i="14"/>
  <c r="R39" i="14"/>
  <c r="Q39" i="14"/>
  <c r="R49" i="7"/>
  <c r="Q49" i="7"/>
  <c r="U48" i="7"/>
  <c r="N48" i="7"/>
  <c r="P48" i="7" s="1"/>
  <c r="U47" i="7"/>
  <c r="P47" i="7"/>
  <c r="U46" i="7"/>
  <c r="P46" i="7"/>
  <c r="U45" i="7"/>
  <c r="P45" i="7"/>
  <c r="U44" i="7"/>
  <c r="O44" i="7"/>
  <c r="N44" i="7"/>
  <c r="U43" i="7"/>
  <c r="P43" i="7"/>
  <c r="L43" i="7"/>
  <c r="U42" i="7"/>
  <c r="P42" i="7"/>
  <c r="U41" i="7"/>
  <c r="O41" i="7"/>
  <c r="N41" i="7"/>
  <c r="P41" i="7" s="1"/>
  <c r="U40" i="7"/>
  <c r="O40" i="7"/>
  <c r="N40" i="7"/>
  <c r="P40" i="7" s="1"/>
  <c r="U39" i="7"/>
  <c r="N39" i="7"/>
  <c r="P39" i="7" s="1"/>
  <c r="U38" i="7"/>
  <c r="P38" i="7"/>
  <c r="U37" i="7"/>
  <c r="O37" i="7"/>
  <c r="N37" i="7"/>
  <c r="U36" i="7"/>
  <c r="O36" i="7"/>
  <c r="N36" i="7"/>
  <c r="L36" i="7"/>
  <c r="U35" i="7"/>
  <c r="N35" i="7"/>
  <c r="P35" i="7" s="1"/>
  <c r="U34" i="7"/>
  <c r="P34" i="7"/>
  <c r="U33" i="7"/>
  <c r="O33" i="7"/>
  <c r="N33" i="7"/>
  <c r="P33" i="7" s="1"/>
  <c r="U32" i="7"/>
  <c r="O32" i="7"/>
  <c r="N32" i="7"/>
  <c r="P32" i="7" s="1"/>
  <c r="U31" i="7"/>
  <c r="P31" i="7"/>
  <c r="U30" i="7"/>
  <c r="O30" i="7"/>
  <c r="N30" i="7"/>
  <c r="P30" i="7" s="1"/>
  <c r="U29" i="7"/>
  <c r="P29" i="7"/>
  <c r="U28" i="7"/>
  <c r="P28" i="7"/>
  <c r="N28" i="7"/>
  <c r="U27" i="7"/>
  <c r="P27" i="7"/>
  <c r="U26" i="7"/>
  <c r="P26" i="7"/>
  <c r="U25" i="7"/>
  <c r="O25" i="7"/>
  <c r="N25" i="7"/>
  <c r="P25" i="7" s="1"/>
  <c r="U24" i="7"/>
  <c r="P24" i="7"/>
  <c r="U23" i="7"/>
  <c r="O23" i="7"/>
  <c r="N23" i="7"/>
  <c r="U22" i="7"/>
  <c r="P22" i="7"/>
  <c r="U21" i="7"/>
  <c r="N21" i="7"/>
  <c r="P21" i="7" s="1"/>
  <c r="T20" i="7"/>
  <c r="T49" i="7" s="1"/>
  <c r="S20" i="7"/>
  <c r="P20" i="7"/>
  <c r="U19" i="7"/>
  <c r="P19" i="7"/>
  <c r="U18" i="7"/>
  <c r="O18" i="7"/>
  <c r="N18" i="7"/>
  <c r="U17" i="7"/>
  <c r="O17" i="7"/>
  <c r="N17" i="7"/>
  <c r="P17" i="7" s="1"/>
  <c r="U16" i="7"/>
  <c r="P16" i="7"/>
  <c r="U15" i="7"/>
  <c r="P15" i="7"/>
  <c r="U14" i="7"/>
  <c r="N14" i="7"/>
  <c r="M14" i="7"/>
  <c r="M49" i="7" s="1"/>
  <c r="L14" i="7"/>
  <c r="P14" i="7" s="1"/>
  <c r="U13" i="7"/>
  <c r="O13" i="7"/>
  <c r="P13" i="7" s="1"/>
  <c r="U12" i="7"/>
  <c r="P12" i="7"/>
  <c r="U11" i="7"/>
  <c r="P11" i="7"/>
  <c r="U10" i="7"/>
  <c r="O10" i="7"/>
  <c r="O49" i="7" s="1"/>
  <c r="N10" i="7"/>
  <c r="U9" i="7"/>
  <c r="L9" i="7"/>
  <c r="U8" i="7"/>
  <c r="P8" i="7"/>
  <c r="N14" i="6"/>
  <c r="N13" i="5"/>
  <c r="N12" i="4"/>
  <c r="L48" i="6"/>
  <c r="L47" i="5"/>
  <c r="L44" i="4"/>
  <c r="L40" i="8"/>
  <c r="L39" i="9"/>
  <c r="L35" i="11"/>
  <c r="L34" i="10"/>
  <c r="L34" i="2"/>
  <c r="L34" i="13"/>
  <c r="L33" i="12"/>
  <c r="U20" i="7" l="1"/>
  <c r="P44" i="7"/>
  <c r="U46" i="11"/>
  <c r="P18" i="7"/>
  <c r="P23" i="7"/>
  <c r="P37" i="7"/>
  <c r="U50" i="9"/>
  <c r="L49" i="7"/>
  <c r="P49" i="7" s="1"/>
  <c r="N49" i="7"/>
  <c r="U39" i="14"/>
  <c r="U51" i="8"/>
  <c r="U45" i="2"/>
  <c r="U44" i="13"/>
  <c r="U43" i="12"/>
  <c r="P9" i="7"/>
  <c r="P10" i="7"/>
  <c r="P36" i="7"/>
  <c r="S49" i="7"/>
  <c r="U49" i="7" s="1"/>
  <c r="O51" i="6"/>
  <c r="N51" i="6"/>
  <c r="P29" i="6"/>
  <c r="P30" i="6"/>
  <c r="P30" i="12"/>
  <c r="Q30" i="12"/>
  <c r="P31" i="12"/>
  <c r="Q31" i="12"/>
  <c r="P26" i="14"/>
  <c r="Q26" i="14"/>
  <c r="P27" i="14"/>
  <c r="Q27" i="14"/>
  <c r="P8" i="14"/>
  <c r="Q8" i="14"/>
  <c r="R8" i="14"/>
  <c r="S8" i="14"/>
  <c r="T8" i="14"/>
  <c r="P9" i="14"/>
  <c r="Q9" i="14"/>
  <c r="U9" i="14" s="1"/>
  <c r="R9" i="14"/>
  <c r="S9" i="14"/>
  <c r="T9" i="14"/>
  <c r="P10" i="14"/>
  <c r="Q10" i="14"/>
  <c r="U10" i="14" s="1"/>
  <c r="R10" i="14"/>
  <c r="S10" i="14"/>
  <c r="T10" i="14"/>
  <c r="P11" i="14"/>
  <c r="Q11" i="14"/>
  <c r="U11" i="14" s="1"/>
  <c r="R11" i="14"/>
  <c r="S11" i="14"/>
  <c r="T11" i="14"/>
  <c r="P12" i="14"/>
  <c r="Q12" i="14"/>
  <c r="R12" i="14"/>
  <c r="S12" i="14"/>
  <c r="T12" i="14"/>
  <c r="P13" i="14"/>
  <c r="Q13" i="14"/>
  <c r="R13" i="14"/>
  <c r="S13" i="14"/>
  <c r="T13" i="14"/>
  <c r="P14" i="14"/>
  <c r="Q14" i="14"/>
  <c r="R14" i="14"/>
  <c r="S14" i="14"/>
  <c r="T14" i="14"/>
  <c r="P15" i="14"/>
  <c r="Q15" i="14"/>
  <c r="R15" i="14"/>
  <c r="S15" i="14"/>
  <c r="T15" i="14"/>
  <c r="P16" i="14"/>
  <c r="Q16" i="14"/>
  <c r="R16" i="14"/>
  <c r="S16" i="14"/>
  <c r="T16" i="14"/>
  <c r="P17" i="14"/>
  <c r="Q17" i="14"/>
  <c r="R17" i="14"/>
  <c r="S17" i="14"/>
  <c r="T17" i="14"/>
  <c r="P18" i="14"/>
  <c r="Q18" i="14"/>
  <c r="R18" i="14"/>
  <c r="S18" i="14"/>
  <c r="T18" i="14"/>
  <c r="P19" i="14"/>
  <c r="Q19" i="14"/>
  <c r="R19" i="14"/>
  <c r="S19" i="14"/>
  <c r="T19" i="14"/>
  <c r="P20" i="14"/>
  <c r="Q20" i="14"/>
  <c r="R20" i="14"/>
  <c r="S20" i="14"/>
  <c r="T20" i="14"/>
  <c r="P21" i="14"/>
  <c r="Q21" i="14"/>
  <c r="R21" i="14"/>
  <c r="S21" i="14"/>
  <c r="T21" i="14"/>
  <c r="P22" i="14"/>
  <c r="Q22" i="14"/>
  <c r="R22" i="14"/>
  <c r="S22" i="14"/>
  <c r="T22" i="14"/>
  <c r="P23" i="14"/>
  <c r="Q23" i="14"/>
  <c r="R23" i="14"/>
  <c r="S23" i="14"/>
  <c r="T23" i="14"/>
  <c r="P24" i="14"/>
  <c r="Q24" i="14"/>
  <c r="R24" i="14"/>
  <c r="S24" i="14"/>
  <c r="T24" i="14"/>
  <c r="P25" i="14"/>
  <c r="Q25" i="14"/>
  <c r="R25" i="14"/>
  <c r="S25" i="14"/>
  <c r="T25" i="14"/>
  <c r="R26" i="14"/>
  <c r="S26" i="14"/>
  <c r="T26" i="14"/>
  <c r="R27" i="14"/>
  <c r="S27" i="14"/>
  <c r="T27" i="14"/>
  <c r="P28" i="14"/>
  <c r="Q28" i="14"/>
  <c r="R28" i="14"/>
  <c r="S28" i="14"/>
  <c r="T28" i="14"/>
  <c r="P29" i="14"/>
  <c r="Q29" i="14"/>
  <c r="R29" i="14"/>
  <c r="S29" i="14"/>
  <c r="T29" i="14"/>
  <c r="P30" i="14"/>
  <c r="Q30" i="14"/>
  <c r="R30" i="14"/>
  <c r="S30" i="14"/>
  <c r="T30" i="14"/>
  <c r="P31" i="14"/>
  <c r="Q31" i="14"/>
  <c r="R31" i="14"/>
  <c r="S31" i="14"/>
  <c r="T31" i="14"/>
  <c r="P32" i="14"/>
  <c r="Q32" i="14"/>
  <c r="R32" i="14"/>
  <c r="S32" i="14"/>
  <c r="T32" i="14"/>
  <c r="P33" i="14"/>
  <c r="Q33" i="14"/>
  <c r="R33" i="14"/>
  <c r="S33" i="14"/>
  <c r="T33" i="14"/>
  <c r="O44" i="6"/>
  <c r="N44" i="6"/>
  <c r="P44" i="6" s="1"/>
  <c r="N43" i="5"/>
  <c r="N40" i="4"/>
  <c r="P40" i="4" s="1"/>
  <c r="N36" i="8"/>
  <c r="P36" i="8" s="1"/>
  <c r="N35" i="9"/>
  <c r="P35" i="9" s="1"/>
  <c r="N31" i="11"/>
  <c r="P31" i="11" s="1"/>
  <c r="N30" i="10"/>
  <c r="P30" i="10" s="1"/>
  <c r="N30" i="13"/>
  <c r="P30" i="13" s="1"/>
  <c r="N29" i="12"/>
  <c r="P29" i="12" s="1"/>
  <c r="L24" i="6"/>
  <c r="N20" i="6"/>
  <c r="O20" i="6"/>
  <c r="O19" i="5"/>
  <c r="N19" i="5"/>
  <c r="O17" i="4"/>
  <c r="T17" i="4" s="1"/>
  <c r="N17" i="4"/>
  <c r="S17" i="4" s="1"/>
  <c r="N33" i="6"/>
  <c r="N32" i="5"/>
  <c r="S32" i="5" s="1"/>
  <c r="N29" i="4"/>
  <c r="N26" i="8"/>
  <c r="N25" i="9"/>
  <c r="P25" i="9" s="1"/>
  <c r="N21" i="11"/>
  <c r="N20" i="10"/>
  <c r="P20" i="10" s="1"/>
  <c r="N20" i="2"/>
  <c r="P20" i="2" s="1"/>
  <c r="N20" i="13"/>
  <c r="N53" i="6"/>
  <c r="P53" i="6" s="1"/>
  <c r="S53" i="6"/>
  <c r="N52" i="5"/>
  <c r="P32" i="12"/>
  <c r="P33" i="13"/>
  <c r="P36" i="2"/>
  <c r="P33" i="2"/>
  <c r="P36" i="10"/>
  <c r="P33" i="10"/>
  <c r="P37" i="11"/>
  <c r="P34" i="11"/>
  <c r="P41" i="9"/>
  <c r="P38" i="9"/>
  <c r="P24" i="9"/>
  <c r="P8" i="9"/>
  <c r="P42" i="8"/>
  <c r="P39" i="8"/>
  <c r="P25" i="8"/>
  <c r="P8" i="8"/>
  <c r="P46" i="4"/>
  <c r="P43" i="4"/>
  <c r="P28" i="4"/>
  <c r="P8" i="4"/>
  <c r="P49" i="5"/>
  <c r="P46" i="5"/>
  <c r="P31" i="5"/>
  <c r="P8" i="5"/>
  <c r="P50" i="6"/>
  <c r="P47" i="6"/>
  <c r="P32" i="6"/>
  <c r="P13" i="6"/>
  <c r="P8" i="6"/>
  <c r="P37" i="12"/>
  <c r="P36" i="12"/>
  <c r="P35" i="12"/>
  <c r="P34" i="12"/>
  <c r="P33" i="12"/>
  <c r="P28" i="12"/>
  <c r="P27" i="12"/>
  <c r="P26" i="12"/>
  <c r="P25" i="12"/>
  <c r="P24" i="12"/>
  <c r="P23" i="12"/>
  <c r="P22" i="12"/>
  <c r="P21" i="12"/>
  <c r="P20" i="12"/>
  <c r="P19" i="12"/>
  <c r="P18" i="12"/>
  <c r="P17" i="12"/>
  <c r="P16" i="12"/>
  <c r="P15" i="12"/>
  <c r="P14" i="12"/>
  <c r="P13" i="12"/>
  <c r="P12" i="12"/>
  <c r="P11" i="12"/>
  <c r="P10" i="12"/>
  <c r="P9" i="12"/>
  <c r="P8" i="12"/>
  <c r="P38" i="13"/>
  <c r="P37" i="13"/>
  <c r="P36" i="13"/>
  <c r="P35" i="13"/>
  <c r="P34" i="13"/>
  <c r="P32" i="13"/>
  <c r="P31" i="13"/>
  <c r="P29" i="13"/>
  <c r="P28" i="13"/>
  <c r="P27" i="13"/>
  <c r="P26" i="13"/>
  <c r="P25" i="13"/>
  <c r="P24" i="13"/>
  <c r="P23" i="13"/>
  <c r="P22" i="13"/>
  <c r="P21" i="13"/>
  <c r="P20" i="13"/>
  <c r="P19" i="13"/>
  <c r="P18" i="13"/>
  <c r="P17" i="13"/>
  <c r="P16" i="13"/>
  <c r="P15" i="13"/>
  <c r="P14" i="13"/>
  <c r="P13" i="13"/>
  <c r="P12" i="13"/>
  <c r="P11" i="13"/>
  <c r="P10" i="13"/>
  <c r="P9" i="13"/>
  <c r="P8" i="13"/>
  <c r="P39" i="2"/>
  <c r="P38" i="2"/>
  <c r="P37" i="2"/>
  <c r="P35" i="2"/>
  <c r="P34" i="2"/>
  <c r="P32" i="2"/>
  <c r="P31" i="2"/>
  <c r="P30" i="2"/>
  <c r="P29" i="2"/>
  <c r="P28" i="2"/>
  <c r="P27" i="2"/>
  <c r="P26" i="2"/>
  <c r="P25" i="2"/>
  <c r="P24" i="2"/>
  <c r="P23" i="2"/>
  <c r="P22" i="2"/>
  <c r="P21" i="2"/>
  <c r="P19" i="2"/>
  <c r="P18" i="2"/>
  <c r="P17" i="2"/>
  <c r="P16" i="2"/>
  <c r="P15" i="2"/>
  <c r="P14" i="2"/>
  <c r="P13" i="2"/>
  <c r="P12" i="2"/>
  <c r="P11" i="2"/>
  <c r="P10" i="2"/>
  <c r="P9" i="2"/>
  <c r="P8" i="2"/>
  <c r="P39" i="10"/>
  <c r="P38" i="10"/>
  <c r="P37" i="10"/>
  <c r="P35" i="10"/>
  <c r="P34" i="10"/>
  <c r="P32" i="10"/>
  <c r="P31" i="10"/>
  <c r="P29" i="10"/>
  <c r="P28" i="10"/>
  <c r="P27" i="10"/>
  <c r="P26" i="10"/>
  <c r="P25" i="10"/>
  <c r="P24" i="10"/>
  <c r="P23" i="10"/>
  <c r="P22" i="10"/>
  <c r="P21" i="10"/>
  <c r="P19" i="10"/>
  <c r="P18" i="10"/>
  <c r="P17" i="10"/>
  <c r="P16" i="10"/>
  <c r="P15" i="10"/>
  <c r="P14" i="10"/>
  <c r="P13" i="10"/>
  <c r="P12" i="10"/>
  <c r="P11" i="10"/>
  <c r="P10" i="10"/>
  <c r="P9" i="10"/>
  <c r="P8" i="10"/>
  <c r="P40" i="11"/>
  <c r="P39" i="11"/>
  <c r="P38" i="11"/>
  <c r="P36" i="11"/>
  <c r="P35" i="11"/>
  <c r="P33" i="11"/>
  <c r="P32" i="11"/>
  <c r="P30" i="11"/>
  <c r="P29" i="11"/>
  <c r="P28" i="11"/>
  <c r="P27" i="11"/>
  <c r="P26" i="11"/>
  <c r="P25" i="11"/>
  <c r="P24" i="11"/>
  <c r="P23" i="11"/>
  <c r="P22" i="11"/>
  <c r="P21" i="11"/>
  <c r="P20" i="11"/>
  <c r="P19" i="11"/>
  <c r="P18" i="11"/>
  <c r="P17" i="11"/>
  <c r="P16" i="11"/>
  <c r="P15" i="11"/>
  <c r="P14" i="11"/>
  <c r="P13" i="11"/>
  <c r="P12" i="11"/>
  <c r="P11" i="11"/>
  <c r="P10" i="11"/>
  <c r="P9" i="11"/>
  <c r="P8" i="11"/>
  <c r="P44" i="9"/>
  <c r="P43" i="9"/>
  <c r="P42" i="9"/>
  <c r="P40" i="9"/>
  <c r="P39" i="9"/>
  <c r="P37" i="9"/>
  <c r="P36" i="9"/>
  <c r="P34" i="9"/>
  <c r="P33" i="9"/>
  <c r="P32" i="9"/>
  <c r="P31" i="9"/>
  <c r="P30" i="9"/>
  <c r="P29" i="9"/>
  <c r="P28" i="9"/>
  <c r="P27" i="9"/>
  <c r="P26" i="9"/>
  <c r="P23" i="9"/>
  <c r="P22" i="9"/>
  <c r="P21" i="9"/>
  <c r="P18" i="9"/>
  <c r="P17" i="9"/>
  <c r="P16" i="9"/>
  <c r="P15" i="9"/>
  <c r="P14" i="9"/>
  <c r="P13" i="9"/>
  <c r="P12" i="9"/>
  <c r="P11" i="9"/>
  <c r="P10" i="9"/>
  <c r="P9" i="9"/>
  <c r="P45" i="8"/>
  <c r="P44" i="8"/>
  <c r="P43" i="8"/>
  <c r="P41" i="8"/>
  <c r="P40" i="8"/>
  <c r="P38" i="8"/>
  <c r="P37" i="8"/>
  <c r="P35" i="8"/>
  <c r="P34" i="8"/>
  <c r="P33" i="8"/>
  <c r="P32" i="8"/>
  <c r="P31" i="8"/>
  <c r="P30" i="8"/>
  <c r="P29" i="8"/>
  <c r="P28" i="8"/>
  <c r="P27" i="8"/>
  <c r="P26" i="8"/>
  <c r="P24" i="8"/>
  <c r="P23" i="8"/>
  <c r="P22" i="8"/>
  <c r="P21" i="8"/>
  <c r="P20" i="8"/>
  <c r="P19" i="8"/>
  <c r="P18" i="8"/>
  <c r="P17" i="8"/>
  <c r="P16" i="8"/>
  <c r="P15" i="8"/>
  <c r="P14" i="8"/>
  <c r="P13" i="8"/>
  <c r="P12" i="8"/>
  <c r="P11" i="8"/>
  <c r="P10" i="8"/>
  <c r="P9" i="8"/>
  <c r="M54" i="6"/>
  <c r="T53" i="6"/>
  <c r="R53" i="6"/>
  <c r="Q53" i="6"/>
  <c r="T52" i="6"/>
  <c r="S52" i="6"/>
  <c r="R52" i="6"/>
  <c r="Q52" i="6"/>
  <c r="P52" i="6"/>
  <c r="S51" i="6"/>
  <c r="R51" i="6"/>
  <c r="Q51" i="6"/>
  <c r="T51" i="6"/>
  <c r="T50" i="6"/>
  <c r="S50" i="6"/>
  <c r="R50" i="6"/>
  <c r="Q50" i="6"/>
  <c r="T49" i="6"/>
  <c r="S49" i="6"/>
  <c r="R49" i="6"/>
  <c r="Q49" i="6"/>
  <c r="P49" i="6"/>
  <c r="T48" i="6"/>
  <c r="S48" i="6"/>
  <c r="R48" i="6"/>
  <c r="Q48" i="6"/>
  <c r="T47" i="6"/>
  <c r="S47" i="6"/>
  <c r="R47" i="6"/>
  <c r="Q47" i="6"/>
  <c r="T46" i="6"/>
  <c r="S46" i="6"/>
  <c r="R46" i="6"/>
  <c r="Q46" i="6"/>
  <c r="P46" i="6"/>
  <c r="T45" i="6"/>
  <c r="S45" i="6"/>
  <c r="R45" i="6"/>
  <c r="Q45" i="6"/>
  <c r="U45" i="6" s="1"/>
  <c r="P45" i="6"/>
  <c r="T44" i="6"/>
  <c r="R44" i="6"/>
  <c r="Q44" i="6"/>
  <c r="T43" i="6"/>
  <c r="S43" i="6"/>
  <c r="R43" i="6"/>
  <c r="Q43" i="6"/>
  <c r="P43" i="6"/>
  <c r="T42" i="6"/>
  <c r="S42" i="6"/>
  <c r="R42" i="6"/>
  <c r="Q42" i="6"/>
  <c r="P42" i="6"/>
  <c r="T41" i="6"/>
  <c r="S41" i="6"/>
  <c r="R41" i="6"/>
  <c r="Q41" i="6"/>
  <c r="P41" i="6"/>
  <c r="T40" i="6"/>
  <c r="S40" i="6"/>
  <c r="R40" i="6"/>
  <c r="Q40" i="6"/>
  <c r="P40" i="6"/>
  <c r="T39" i="6"/>
  <c r="S39" i="6"/>
  <c r="R39" i="6"/>
  <c r="Q39" i="6"/>
  <c r="P39" i="6"/>
  <c r="T38" i="6"/>
  <c r="S38" i="6"/>
  <c r="R38" i="6"/>
  <c r="Q38" i="6"/>
  <c r="P38" i="6"/>
  <c r="T37" i="6"/>
  <c r="S37" i="6"/>
  <c r="R37" i="6"/>
  <c r="Q37" i="6"/>
  <c r="P37" i="6"/>
  <c r="S36" i="6"/>
  <c r="R36" i="6"/>
  <c r="Q36" i="6"/>
  <c r="O54" i="6"/>
  <c r="P36" i="6"/>
  <c r="T35" i="6"/>
  <c r="S35" i="6"/>
  <c r="R35" i="6"/>
  <c r="Q35" i="6"/>
  <c r="P35" i="6"/>
  <c r="T34" i="6"/>
  <c r="S34" i="6"/>
  <c r="R34" i="6"/>
  <c r="Q34" i="6"/>
  <c r="P34" i="6"/>
  <c r="T33" i="6"/>
  <c r="R33" i="6"/>
  <c r="Q33" i="6"/>
  <c r="S33" i="6"/>
  <c r="T32" i="6"/>
  <c r="S32" i="6"/>
  <c r="R32" i="6"/>
  <c r="Q32" i="6"/>
  <c r="T31" i="6"/>
  <c r="S31" i="6"/>
  <c r="R31" i="6"/>
  <c r="Q31" i="6"/>
  <c r="P31" i="6"/>
  <c r="T30" i="6"/>
  <c r="S30" i="6"/>
  <c r="R30" i="6"/>
  <c r="Q30" i="6"/>
  <c r="T29" i="6"/>
  <c r="S29" i="6"/>
  <c r="R29" i="6"/>
  <c r="Q29" i="6"/>
  <c r="T28" i="6"/>
  <c r="S28" i="6"/>
  <c r="R28" i="6"/>
  <c r="Q28" i="6"/>
  <c r="P28" i="6"/>
  <c r="T27" i="6"/>
  <c r="S27" i="6"/>
  <c r="R27" i="6"/>
  <c r="Q27" i="6"/>
  <c r="P27" i="6"/>
  <c r="T26" i="6"/>
  <c r="S26" i="6"/>
  <c r="R26" i="6"/>
  <c r="Q26" i="6"/>
  <c r="P26" i="6"/>
  <c r="T25" i="6"/>
  <c r="S25" i="6"/>
  <c r="R25" i="6"/>
  <c r="Q25" i="6"/>
  <c r="P25" i="6"/>
  <c r="T24" i="6"/>
  <c r="S24" i="6"/>
  <c r="R24" i="6"/>
  <c r="P24" i="6"/>
  <c r="L54" i="6"/>
  <c r="T23" i="6"/>
  <c r="S23" i="6"/>
  <c r="R23" i="6"/>
  <c r="Q23" i="6"/>
  <c r="P23" i="6"/>
  <c r="T22" i="6"/>
  <c r="S22" i="6"/>
  <c r="R22" i="6"/>
  <c r="Q22" i="6"/>
  <c r="P22" i="6"/>
  <c r="T21" i="6"/>
  <c r="S21" i="6"/>
  <c r="R21" i="6"/>
  <c r="Q21" i="6"/>
  <c r="P21" i="6"/>
  <c r="T20" i="6"/>
  <c r="R20" i="6"/>
  <c r="Q20" i="6"/>
  <c r="T19" i="6"/>
  <c r="S19" i="6"/>
  <c r="R19" i="6"/>
  <c r="Q19" i="6"/>
  <c r="P19" i="6"/>
  <c r="T18" i="6"/>
  <c r="S18" i="6"/>
  <c r="R18" i="6"/>
  <c r="Q18" i="6"/>
  <c r="P18" i="6"/>
  <c r="T17" i="6"/>
  <c r="S17" i="6"/>
  <c r="R17" i="6"/>
  <c r="Q17" i="6"/>
  <c r="U17" i="6" s="1"/>
  <c r="P17" i="6"/>
  <c r="T16" i="6"/>
  <c r="S16" i="6"/>
  <c r="R16" i="6"/>
  <c r="Q16" i="6"/>
  <c r="P16" i="6"/>
  <c r="T15" i="6"/>
  <c r="S15" i="6"/>
  <c r="R15" i="6"/>
  <c r="Q15" i="6"/>
  <c r="P15" i="6"/>
  <c r="T14" i="6"/>
  <c r="R14" i="6"/>
  <c r="Q14" i="6"/>
  <c r="P14" i="6"/>
  <c r="T13" i="6"/>
  <c r="S13" i="6"/>
  <c r="R13" i="6"/>
  <c r="Q13" i="6"/>
  <c r="T12" i="6"/>
  <c r="S12" i="6"/>
  <c r="R12" i="6"/>
  <c r="Q12" i="6"/>
  <c r="P12" i="6"/>
  <c r="T11" i="6"/>
  <c r="S11" i="6"/>
  <c r="R11" i="6"/>
  <c r="Q11" i="6"/>
  <c r="P11" i="6"/>
  <c r="T10" i="6"/>
  <c r="S10" i="6"/>
  <c r="R10" i="6"/>
  <c r="Q10" i="6"/>
  <c r="P10" i="6"/>
  <c r="T9" i="6"/>
  <c r="S9" i="6"/>
  <c r="R9" i="6"/>
  <c r="Q9" i="6"/>
  <c r="P9" i="6"/>
  <c r="T8" i="6"/>
  <c r="S8" i="6"/>
  <c r="R8" i="6"/>
  <c r="Q8" i="6"/>
  <c r="M53" i="5"/>
  <c r="S52" i="5"/>
  <c r="R52" i="5"/>
  <c r="Q52" i="5"/>
  <c r="P52" i="5"/>
  <c r="T52" i="5"/>
  <c r="T51" i="5"/>
  <c r="S51" i="5"/>
  <c r="R51" i="5"/>
  <c r="Q51" i="5"/>
  <c r="P51" i="5"/>
  <c r="R50" i="5"/>
  <c r="Q50" i="5"/>
  <c r="T50" i="5"/>
  <c r="S50" i="5"/>
  <c r="T49" i="5"/>
  <c r="S49" i="5"/>
  <c r="R49" i="5"/>
  <c r="Q49" i="5"/>
  <c r="T48" i="5"/>
  <c r="S48" i="5"/>
  <c r="R48" i="5"/>
  <c r="Q48" i="5"/>
  <c r="P48" i="5"/>
  <c r="T47" i="5"/>
  <c r="S47" i="5"/>
  <c r="R47" i="5"/>
  <c r="Q47" i="5"/>
  <c r="T46" i="5"/>
  <c r="S46" i="5"/>
  <c r="R46" i="5"/>
  <c r="Q46" i="5"/>
  <c r="T45" i="5"/>
  <c r="S45" i="5"/>
  <c r="R45" i="5"/>
  <c r="Q45" i="5"/>
  <c r="P45" i="5"/>
  <c r="T44" i="5"/>
  <c r="S44" i="5"/>
  <c r="R44" i="5"/>
  <c r="Q44" i="5"/>
  <c r="P44" i="5"/>
  <c r="R43" i="5"/>
  <c r="Q43" i="5"/>
  <c r="T43" i="5"/>
  <c r="P43" i="5"/>
  <c r="S42" i="5"/>
  <c r="R42" i="5"/>
  <c r="Q42" i="5"/>
  <c r="P42" i="5"/>
  <c r="T42" i="5"/>
  <c r="T41" i="5"/>
  <c r="S41" i="5"/>
  <c r="R41" i="5"/>
  <c r="Q41" i="5"/>
  <c r="P41" i="5"/>
  <c r="T40" i="5"/>
  <c r="S40" i="5"/>
  <c r="R40" i="5"/>
  <c r="Q40" i="5"/>
  <c r="P40" i="5"/>
  <c r="T39" i="5"/>
  <c r="S39" i="5"/>
  <c r="R39" i="5"/>
  <c r="Q39" i="5"/>
  <c r="P39" i="5"/>
  <c r="T38" i="5"/>
  <c r="S38" i="5"/>
  <c r="R38" i="5"/>
  <c r="Q38" i="5"/>
  <c r="P38" i="5"/>
  <c r="T37" i="5"/>
  <c r="S37" i="5"/>
  <c r="R37" i="5"/>
  <c r="Q37" i="5"/>
  <c r="P37" i="5"/>
  <c r="T36" i="5"/>
  <c r="S36" i="5"/>
  <c r="R36" i="5"/>
  <c r="Q36" i="5"/>
  <c r="P36" i="5"/>
  <c r="R35" i="5"/>
  <c r="Q35" i="5"/>
  <c r="O53" i="5"/>
  <c r="S35" i="5"/>
  <c r="T34" i="5"/>
  <c r="S34" i="5"/>
  <c r="R34" i="5"/>
  <c r="Q34" i="5"/>
  <c r="P34" i="5"/>
  <c r="T33" i="5"/>
  <c r="S33" i="5"/>
  <c r="R33" i="5"/>
  <c r="Q33" i="5"/>
  <c r="P33" i="5"/>
  <c r="T32" i="5"/>
  <c r="R32" i="5"/>
  <c r="Q32" i="5"/>
  <c r="T31" i="5"/>
  <c r="S31" i="5"/>
  <c r="R31" i="5"/>
  <c r="Q31" i="5"/>
  <c r="T30" i="5"/>
  <c r="S30" i="5"/>
  <c r="R30" i="5"/>
  <c r="Q30" i="5"/>
  <c r="P30" i="5"/>
  <c r="T29" i="5"/>
  <c r="S29" i="5"/>
  <c r="R29" i="5"/>
  <c r="Q29" i="5"/>
  <c r="P29" i="5"/>
  <c r="T28" i="5"/>
  <c r="S28" i="5"/>
  <c r="R28" i="5"/>
  <c r="Q28" i="5"/>
  <c r="P28" i="5"/>
  <c r="T27" i="5"/>
  <c r="S27" i="5"/>
  <c r="R27" i="5"/>
  <c r="Q27" i="5"/>
  <c r="P27" i="5"/>
  <c r="T26" i="5"/>
  <c r="S26" i="5"/>
  <c r="R26" i="5"/>
  <c r="Q26" i="5"/>
  <c r="P26" i="5"/>
  <c r="T25" i="5"/>
  <c r="S25" i="5"/>
  <c r="R25" i="5"/>
  <c r="Q25" i="5"/>
  <c r="P25" i="5"/>
  <c r="T24" i="5"/>
  <c r="S24" i="5"/>
  <c r="R24" i="5"/>
  <c r="Q24" i="5"/>
  <c r="P24" i="5"/>
  <c r="T23" i="5"/>
  <c r="S23" i="5"/>
  <c r="R23" i="5"/>
  <c r="P23" i="5"/>
  <c r="L53" i="5"/>
  <c r="T22" i="5"/>
  <c r="S22" i="5"/>
  <c r="R22" i="5"/>
  <c r="Q22" i="5"/>
  <c r="P22" i="5"/>
  <c r="T21" i="5"/>
  <c r="S21" i="5"/>
  <c r="R21" i="5"/>
  <c r="Q21" i="5"/>
  <c r="P21" i="5"/>
  <c r="T20" i="5"/>
  <c r="S20" i="5"/>
  <c r="R20" i="5"/>
  <c r="Q20" i="5"/>
  <c r="P20" i="5"/>
  <c r="T19" i="5"/>
  <c r="R19" i="5"/>
  <c r="Q19" i="5"/>
  <c r="P19" i="5"/>
  <c r="S19" i="5"/>
  <c r="T18" i="5"/>
  <c r="S18" i="5"/>
  <c r="R18" i="5"/>
  <c r="Q18" i="5"/>
  <c r="P18" i="5"/>
  <c r="T17" i="5"/>
  <c r="S17" i="5"/>
  <c r="R17" i="5"/>
  <c r="Q17" i="5"/>
  <c r="P17" i="5"/>
  <c r="T16" i="5"/>
  <c r="S16" i="5"/>
  <c r="R16" i="5"/>
  <c r="Q16" i="5"/>
  <c r="P16" i="5"/>
  <c r="T15" i="5"/>
  <c r="S15" i="5"/>
  <c r="R15" i="5"/>
  <c r="Q15" i="5"/>
  <c r="P15" i="5"/>
  <c r="T14" i="5"/>
  <c r="S14" i="5"/>
  <c r="R14" i="5"/>
  <c r="Q14" i="5"/>
  <c r="P14" i="5"/>
  <c r="T13" i="5"/>
  <c r="R13" i="5"/>
  <c r="Q13" i="5"/>
  <c r="T12" i="5"/>
  <c r="S12" i="5"/>
  <c r="R12" i="5"/>
  <c r="Q12" i="5"/>
  <c r="P12" i="5"/>
  <c r="T11" i="5"/>
  <c r="S11" i="5"/>
  <c r="R11" i="5"/>
  <c r="Q11" i="5"/>
  <c r="P11" i="5"/>
  <c r="T10" i="5"/>
  <c r="S10" i="5"/>
  <c r="R10" i="5"/>
  <c r="Q10" i="5"/>
  <c r="P10" i="5"/>
  <c r="T9" i="5"/>
  <c r="S9" i="5"/>
  <c r="R9" i="5"/>
  <c r="Q9" i="5"/>
  <c r="P9" i="5"/>
  <c r="T8" i="5"/>
  <c r="S8" i="5"/>
  <c r="R8" i="5"/>
  <c r="Q8" i="5"/>
  <c r="M50" i="4"/>
  <c r="S49" i="4"/>
  <c r="R49" i="4"/>
  <c r="Q49" i="4"/>
  <c r="S48" i="4"/>
  <c r="R48" i="4"/>
  <c r="Q48" i="4"/>
  <c r="P48" i="4"/>
  <c r="T47" i="4"/>
  <c r="R47" i="4"/>
  <c r="Q47" i="4"/>
  <c r="S47" i="4"/>
  <c r="T46" i="4"/>
  <c r="S46" i="4"/>
  <c r="R46" i="4"/>
  <c r="Q46" i="4"/>
  <c r="T45" i="4"/>
  <c r="S45" i="4"/>
  <c r="R45" i="4"/>
  <c r="Q45" i="4"/>
  <c r="P45" i="4"/>
  <c r="T44" i="4"/>
  <c r="S44" i="4"/>
  <c r="R44" i="4"/>
  <c r="P44" i="4"/>
  <c r="Q44" i="4"/>
  <c r="T43" i="4"/>
  <c r="S43" i="4"/>
  <c r="R43" i="4"/>
  <c r="Q43" i="4"/>
  <c r="T42" i="4"/>
  <c r="S42" i="4"/>
  <c r="R42" i="4"/>
  <c r="Q42" i="4"/>
  <c r="P42" i="4"/>
  <c r="T41" i="4"/>
  <c r="S41" i="4"/>
  <c r="R41" i="4"/>
  <c r="Q41" i="4"/>
  <c r="P41" i="4"/>
  <c r="T40" i="4"/>
  <c r="R40" i="4"/>
  <c r="Q40" i="4"/>
  <c r="T39" i="4"/>
  <c r="S39" i="4"/>
  <c r="R39" i="4"/>
  <c r="Q39" i="4"/>
  <c r="P39" i="4"/>
  <c r="T38" i="4"/>
  <c r="S38" i="4"/>
  <c r="R38" i="4"/>
  <c r="Q38" i="4"/>
  <c r="P38" i="4"/>
  <c r="T37" i="4"/>
  <c r="S37" i="4"/>
  <c r="R37" i="4"/>
  <c r="Q37" i="4"/>
  <c r="P37" i="4"/>
  <c r="T36" i="4"/>
  <c r="S36" i="4"/>
  <c r="R36" i="4"/>
  <c r="Q36" i="4"/>
  <c r="P36" i="4"/>
  <c r="T35" i="4"/>
  <c r="S35" i="4"/>
  <c r="R35" i="4"/>
  <c r="Q35" i="4"/>
  <c r="P35" i="4"/>
  <c r="T34" i="4"/>
  <c r="S34" i="4"/>
  <c r="R34" i="4"/>
  <c r="Q34" i="4"/>
  <c r="P34" i="4"/>
  <c r="T33" i="4"/>
  <c r="S33" i="4"/>
  <c r="R33" i="4"/>
  <c r="Q33" i="4"/>
  <c r="P33" i="4"/>
  <c r="S32" i="4"/>
  <c r="R32" i="4"/>
  <c r="Q32" i="4"/>
  <c r="P32" i="4"/>
  <c r="T31" i="4"/>
  <c r="S31" i="4"/>
  <c r="R31" i="4"/>
  <c r="Q31" i="4"/>
  <c r="P31" i="4"/>
  <c r="T30" i="4"/>
  <c r="S30" i="4"/>
  <c r="R30" i="4"/>
  <c r="Q30" i="4"/>
  <c r="P30" i="4"/>
  <c r="T29" i="4"/>
  <c r="R29" i="4"/>
  <c r="Q29" i="4"/>
  <c r="S29" i="4"/>
  <c r="T28" i="4"/>
  <c r="S28" i="4"/>
  <c r="R28" i="4"/>
  <c r="Q28" i="4"/>
  <c r="T27" i="4"/>
  <c r="S27" i="4"/>
  <c r="R27" i="4"/>
  <c r="Q27" i="4"/>
  <c r="P27" i="4"/>
  <c r="T26" i="4"/>
  <c r="S26" i="4"/>
  <c r="R26" i="4"/>
  <c r="Q26" i="4"/>
  <c r="P26" i="4"/>
  <c r="T25" i="4"/>
  <c r="S25" i="4"/>
  <c r="R25" i="4"/>
  <c r="Q25" i="4"/>
  <c r="P25" i="4"/>
  <c r="T24" i="4"/>
  <c r="S24" i="4"/>
  <c r="R24" i="4"/>
  <c r="Q24" i="4"/>
  <c r="P24" i="4"/>
  <c r="T23" i="4"/>
  <c r="S23" i="4"/>
  <c r="R23" i="4"/>
  <c r="Q23" i="4"/>
  <c r="P23" i="4"/>
  <c r="T22" i="4"/>
  <c r="S22" i="4"/>
  <c r="R22" i="4"/>
  <c r="Q22" i="4"/>
  <c r="P22" i="4"/>
  <c r="T21" i="4"/>
  <c r="S21" i="4"/>
  <c r="R21" i="4"/>
  <c r="Q21" i="4"/>
  <c r="P21" i="4"/>
  <c r="L50" i="4"/>
  <c r="T20" i="4"/>
  <c r="S20" i="4"/>
  <c r="R20" i="4"/>
  <c r="Q20" i="4"/>
  <c r="P20" i="4"/>
  <c r="T19" i="4"/>
  <c r="S19" i="4"/>
  <c r="R19" i="4"/>
  <c r="Q19" i="4"/>
  <c r="P19" i="4"/>
  <c r="T18" i="4"/>
  <c r="S18" i="4"/>
  <c r="R18" i="4"/>
  <c r="Q18" i="4"/>
  <c r="P18" i="4"/>
  <c r="R17" i="4"/>
  <c r="Q17" i="4"/>
  <c r="T16" i="4"/>
  <c r="S16" i="4"/>
  <c r="R16" i="4"/>
  <c r="Q16" i="4"/>
  <c r="P16" i="4"/>
  <c r="T15" i="4"/>
  <c r="S15" i="4"/>
  <c r="R15" i="4"/>
  <c r="Q15" i="4"/>
  <c r="P15" i="4"/>
  <c r="T14" i="4"/>
  <c r="S14" i="4"/>
  <c r="R14" i="4"/>
  <c r="Q14" i="4"/>
  <c r="U14" i="4" s="1"/>
  <c r="P14" i="4"/>
  <c r="T13" i="4"/>
  <c r="S13" i="4"/>
  <c r="R13" i="4"/>
  <c r="Q13" i="4"/>
  <c r="P13" i="4"/>
  <c r="T12" i="4"/>
  <c r="R12" i="4"/>
  <c r="Q12" i="4"/>
  <c r="P12" i="4"/>
  <c r="T11" i="4"/>
  <c r="S11" i="4"/>
  <c r="R11" i="4"/>
  <c r="Q11" i="4"/>
  <c r="P11" i="4"/>
  <c r="T10" i="4"/>
  <c r="S10" i="4"/>
  <c r="R10" i="4"/>
  <c r="Q10" i="4"/>
  <c r="P10" i="4"/>
  <c r="T9" i="4"/>
  <c r="S9" i="4"/>
  <c r="R9" i="4"/>
  <c r="Q9" i="4"/>
  <c r="P9" i="4"/>
  <c r="T8" i="4"/>
  <c r="S8" i="4"/>
  <c r="R8" i="4"/>
  <c r="Q8" i="4"/>
  <c r="T39" i="12"/>
  <c r="S39" i="12"/>
  <c r="R39" i="12"/>
  <c r="Q39" i="12"/>
  <c r="T37" i="12"/>
  <c r="S37" i="12"/>
  <c r="R37" i="12"/>
  <c r="Q37" i="12"/>
  <c r="T36" i="12"/>
  <c r="S36" i="12"/>
  <c r="R36" i="12"/>
  <c r="Q36" i="12"/>
  <c r="T35" i="12"/>
  <c r="S35" i="12"/>
  <c r="R35" i="12"/>
  <c r="Q35" i="12"/>
  <c r="T34" i="12"/>
  <c r="S34" i="12"/>
  <c r="R34" i="12"/>
  <c r="Q34" i="12"/>
  <c r="T33" i="12"/>
  <c r="S33" i="12"/>
  <c r="R33" i="12"/>
  <c r="Q33" i="12"/>
  <c r="T32" i="12"/>
  <c r="S32" i="12"/>
  <c r="R32" i="12"/>
  <c r="Q32" i="12"/>
  <c r="T31" i="12"/>
  <c r="S31" i="12"/>
  <c r="R31" i="12"/>
  <c r="U31" i="12" s="1"/>
  <c r="T30" i="12"/>
  <c r="S30" i="12"/>
  <c r="R30" i="12"/>
  <c r="T29" i="12"/>
  <c r="R29" i="12"/>
  <c r="Q29" i="12"/>
  <c r="T28" i="12"/>
  <c r="S28" i="12"/>
  <c r="R28" i="12"/>
  <c r="Q28" i="12"/>
  <c r="T27" i="12"/>
  <c r="S27" i="12"/>
  <c r="R27" i="12"/>
  <c r="Q27" i="12"/>
  <c r="T26" i="12"/>
  <c r="S26" i="12"/>
  <c r="R26" i="12"/>
  <c r="Q26" i="12"/>
  <c r="T25" i="12"/>
  <c r="S25" i="12"/>
  <c r="R25" i="12"/>
  <c r="Q25" i="12"/>
  <c r="T24" i="12"/>
  <c r="S24" i="12"/>
  <c r="R24" i="12"/>
  <c r="Q24" i="12"/>
  <c r="T23" i="12"/>
  <c r="S23" i="12"/>
  <c r="R23" i="12"/>
  <c r="Q23" i="12"/>
  <c r="T22" i="12"/>
  <c r="S22" i="12"/>
  <c r="R22" i="12"/>
  <c r="Q22" i="12"/>
  <c r="T21" i="12"/>
  <c r="S21" i="12"/>
  <c r="R21" i="12"/>
  <c r="Q21" i="12"/>
  <c r="T20" i="12"/>
  <c r="S20" i="12"/>
  <c r="R20" i="12"/>
  <c r="Q20" i="12"/>
  <c r="T19" i="12"/>
  <c r="S19" i="12"/>
  <c r="R19" i="12"/>
  <c r="Q19" i="12"/>
  <c r="T18" i="12"/>
  <c r="S18" i="12"/>
  <c r="R18" i="12"/>
  <c r="Q18" i="12"/>
  <c r="T17" i="12"/>
  <c r="S17" i="12"/>
  <c r="R17" i="12"/>
  <c r="Q17" i="12"/>
  <c r="T16" i="12"/>
  <c r="S16" i="12"/>
  <c r="R16" i="12"/>
  <c r="Q16" i="12"/>
  <c r="T15" i="12"/>
  <c r="S15" i="12"/>
  <c r="R15" i="12"/>
  <c r="Q15" i="12"/>
  <c r="T14" i="12"/>
  <c r="S14" i="12"/>
  <c r="R14" i="12"/>
  <c r="Q14" i="12"/>
  <c r="T13" i="12"/>
  <c r="S13" i="12"/>
  <c r="R13" i="12"/>
  <c r="Q13" i="12"/>
  <c r="T12" i="12"/>
  <c r="S12" i="12"/>
  <c r="R12" i="12"/>
  <c r="Q12" i="12"/>
  <c r="T11" i="12"/>
  <c r="S11" i="12"/>
  <c r="R11" i="12"/>
  <c r="Q11" i="12"/>
  <c r="T10" i="12"/>
  <c r="S10" i="12"/>
  <c r="R10" i="12"/>
  <c r="Q10" i="12"/>
  <c r="T9" i="12"/>
  <c r="S9" i="12"/>
  <c r="R9" i="12"/>
  <c r="Q9" i="12"/>
  <c r="T8" i="12"/>
  <c r="S8" i="12"/>
  <c r="R8" i="12"/>
  <c r="Q8" i="12"/>
  <c r="T40" i="13"/>
  <c r="S40" i="13"/>
  <c r="R40" i="13"/>
  <c r="Q40" i="13"/>
  <c r="T38" i="13"/>
  <c r="S38" i="13"/>
  <c r="R38" i="13"/>
  <c r="Q38" i="13"/>
  <c r="T37" i="13"/>
  <c r="S37" i="13"/>
  <c r="R37" i="13"/>
  <c r="Q37" i="13"/>
  <c r="T36" i="13"/>
  <c r="S36" i="13"/>
  <c r="R36" i="13"/>
  <c r="Q36" i="13"/>
  <c r="T35" i="13"/>
  <c r="S35" i="13"/>
  <c r="R35" i="13"/>
  <c r="Q35" i="13"/>
  <c r="T34" i="13"/>
  <c r="S34" i="13"/>
  <c r="R34" i="13"/>
  <c r="Q34" i="13"/>
  <c r="T33" i="13"/>
  <c r="S33" i="13"/>
  <c r="R33" i="13"/>
  <c r="Q33" i="13"/>
  <c r="T32" i="13"/>
  <c r="S32" i="13"/>
  <c r="R32" i="13"/>
  <c r="Q32" i="13"/>
  <c r="T31" i="13"/>
  <c r="S31" i="13"/>
  <c r="R31" i="13"/>
  <c r="Q31" i="13"/>
  <c r="T30" i="13"/>
  <c r="S30" i="13"/>
  <c r="R30" i="13"/>
  <c r="Q30" i="13"/>
  <c r="T29" i="13"/>
  <c r="S29" i="13"/>
  <c r="R29" i="13"/>
  <c r="Q29" i="13"/>
  <c r="T28" i="13"/>
  <c r="S28" i="13"/>
  <c r="R28" i="13"/>
  <c r="Q28" i="13"/>
  <c r="T27" i="13"/>
  <c r="S27" i="13"/>
  <c r="R27" i="13"/>
  <c r="Q27" i="13"/>
  <c r="T26" i="13"/>
  <c r="S26" i="13"/>
  <c r="R26" i="13"/>
  <c r="Q26" i="13"/>
  <c r="T25" i="13"/>
  <c r="S25" i="13"/>
  <c r="R25" i="13"/>
  <c r="Q25" i="13"/>
  <c r="T24" i="13"/>
  <c r="S24" i="13"/>
  <c r="R24" i="13"/>
  <c r="Q24" i="13"/>
  <c r="T23" i="13"/>
  <c r="S23" i="13"/>
  <c r="R23" i="13"/>
  <c r="Q23" i="13"/>
  <c r="T22" i="13"/>
  <c r="S22" i="13"/>
  <c r="R22" i="13"/>
  <c r="Q22" i="13"/>
  <c r="T21" i="13"/>
  <c r="S21" i="13"/>
  <c r="R21" i="13"/>
  <c r="Q21" i="13"/>
  <c r="T20" i="13"/>
  <c r="R20" i="13"/>
  <c r="Q20" i="13"/>
  <c r="T19" i="13"/>
  <c r="S19" i="13"/>
  <c r="R19" i="13"/>
  <c r="Q19" i="13"/>
  <c r="T18" i="13"/>
  <c r="S18" i="13"/>
  <c r="R18" i="13"/>
  <c r="Q18" i="13"/>
  <c r="T17" i="13"/>
  <c r="S17" i="13"/>
  <c r="R17" i="13"/>
  <c r="Q17" i="13"/>
  <c r="T16" i="13"/>
  <c r="S16" i="13"/>
  <c r="R16" i="13"/>
  <c r="Q16" i="13"/>
  <c r="T15" i="13"/>
  <c r="S15" i="13"/>
  <c r="R15" i="13"/>
  <c r="Q15" i="13"/>
  <c r="T14" i="13"/>
  <c r="S14" i="13"/>
  <c r="R14" i="13"/>
  <c r="Q14" i="13"/>
  <c r="T13" i="13"/>
  <c r="S13" i="13"/>
  <c r="R13" i="13"/>
  <c r="Q13" i="13"/>
  <c r="T12" i="13"/>
  <c r="S12" i="13"/>
  <c r="R12" i="13"/>
  <c r="Q12" i="13"/>
  <c r="T11" i="13"/>
  <c r="S11" i="13"/>
  <c r="R11" i="13"/>
  <c r="Q11" i="13"/>
  <c r="T10" i="13"/>
  <c r="S10" i="13"/>
  <c r="R10" i="13"/>
  <c r="Q10" i="13"/>
  <c r="T9" i="13"/>
  <c r="S9" i="13"/>
  <c r="R9" i="13"/>
  <c r="Q9" i="13"/>
  <c r="T8" i="13"/>
  <c r="S8" i="13"/>
  <c r="R8" i="13"/>
  <c r="Q8" i="13"/>
  <c r="T41" i="2"/>
  <c r="S41" i="2"/>
  <c r="R41" i="2"/>
  <c r="Q41" i="2"/>
  <c r="T39" i="2"/>
  <c r="S39" i="2"/>
  <c r="R39" i="2"/>
  <c r="Q39" i="2"/>
  <c r="T38" i="2"/>
  <c r="S38" i="2"/>
  <c r="R38" i="2"/>
  <c r="Q38" i="2"/>
  <c r="T37" i="2"/>
  <c r="S37" i="2"/>
  <c r="R37" i="2"/>
  <c r="Q37" i="2"/>
  <c r="T36" i="2"/>
  <c r="S36" i="2"/>
  <c r="R36" i="2"/>
  <c r="Q36" i="2"/>
  <c r="T35" i="2"/>
  <c r="S35" i="2"/>
  <c r="R35" i="2"/>
  <c r="Q35" i="2"/>
  <c r="T34" i="2"/>
  <c r="S34" i="2"/>
  <c r="R34" i="2"/>
  <c r="Q34" i="2"/>
  <c r="T33" i="2"/>
  <c r="S33" i="2"/>
  <c r="R33" i="2"/>
  <c r="Q33" i="2"/>
  <c r="T32" i="2"/>
  <c r="S32" i="2"/>
  <c r="R32" i="2"/>
  <c r="Q32" i="2"/>
  <c r="T31" i="2"/>
  <c r="S31" i="2"/>
  <c r="R31" i="2"/>
  <c r="Q31" i="2"/>
  <c r="T30" i="2"/>
  <c r="S30" i="2"/>
  <c r="R30" i="2"/>
  <c r="Q30" i="2"/>
  <c r="T29" i="2"/>
  <c r="S29" i="2"/>
  <c r="R29" i="2"/>
  <c r="Q29" i="2"/>
  <c r="U29" i="2" s="1"/>
  <c r="T28" i="2"/>
  <c r="S28" i="2"/>
  <c r="R28" i="2"/>
  <c r="Q28" i="2"/>
  <c r="T27" i="2"/>
  <c r="S27" i="2"/>
  <c r="R27" i="2"/>
  <c r="Q27" i="2"/>
  <c r="T26" i="2"/>
  <c r="S26" i="2"/>
  <c r="R26" i="2"/>
  <c r="Q26" i="2"/>
  <c r="U26" i="2" s="1"/>
  <c r="T25" i="2"/>
  <c r="S25" i="2"/>
  <c r="R25" i="2"/>
  <c r="Q25" i="2"/>
  <c r="T24" i="2"/>
  <c r="S24" i="2"/>
  <c r="R24" i="2"/>
  <c r="Q24" i="2"/>
  <c r="T23" i="2"/>
  <c r="S23" i="2"/>
  <c r="R23" i="2"/>
  <c r="Q23" i="2"/>
  <c r="U23" i="2" s="1"/>
  <c r="T22" i="2"/>
  <c r="S22" i="2"/>
  <c r="R22" i="2"/>
  <c r="Q22" i="2"/>
  <c r="T21" i="2"/>
  <c r="S21" i="2"/>
  <c r="R21" i="2"/>
  <c r="Q21" i="2"/>
  <c r="T20" i="2"/>
  <c r="S20" i="2"/>
  <c r="R20" i="2"/>
  <c r="Q20" i="2"/>
  <c r="U20" i="2" s="1"/>
  <c r="T19" i="2"/>
  <c r="S19" i="2"/>
  <c r="R19" i="2"/>
  <c r="Q19" i="2"/>
  <c r="T18" i="2"/>
  <c r="S18" i="2"/>
  <c r="R18" i="2"/>
  <c r="Q18" i="2"/>
  <c r="T17" i="2"/>
  <c r="S17" i="2"/>
  <c r="R17" i="2"/>
  <c r="Q17" i="2"/>
  <c r="U17" i="2" s="1"/>
  <c r="T16" i="2"/>
  <c r="S16" i="2"/>
  <c r="R16" i="2"/>
  <c r="Q16" i="2"/>
  <c r="T15" i="2"/>
  <c r="S15" i="2"/>
  <c r="R15" i="2"/>
  <c r="Q15" i="2"/>
  <c r="T14" i="2"/>
  <c r="S14" i="2"/>
  <c r="R14" i="2"/>
  <c r="Q14" i="2"/>
  <c r="U14" i="2" s="1"/>
  <c r="T13" i="2"/>
  <c r="S13" i="2"/>
  <c r="R13" i="2"/>
  <c r="Q13" i="2"/>
  <c r="T12" i="2"/>
  <c r="S12" i="2"/>
  <c r="R12" i="2"/>
  <c r="Q12" i="2"/>
  <c r="T11" i="2"/>
  <c r="S11" i="2"/>
  <c r="R11" i="2"/>
  <c r="Q11" i="2"/>
  <c r="U11" i="2" s="1"/>
  <c r="T10" i="2"/>
  <c r="S10" i="2"/>
  <c r="R10" i="2"/>
  <c r="Q10" i="2"/>
  <c r="T9" i="2"/>
  <c r="S9" i="2"/>
  <c r="R9" i="2"/>
  <c r="Q9" i="2"/>
  <c r="T8" i="2"/>
  <c r="S8" i="2"/>
  <c r="R8" i="2"/>
  <c r="Q8" i="2"/>
  <c r="U8" i="2" s="1"/>
  <c r="T41" i="10"/>
  <c r="S41" i="10"/>
  <c r="R41" i="10"/>
  <c r="Q41" i="10"/>
  <c r="T39" i="10"/>
  <c r="S39" i="10"/>
  <c r="R39" i="10"/>
  <c r="Q39" i="10"/>
  <c r="T38" i="10"/>
  <c r="S38" i="10"/>
  <c r="R38" i="10"/>
  <c r="Q38" i="10"/>
  <c r="T37" i="10"/>
  <c r="S37" i="10"/>
  <c r="R37" i="10"/>
  <c r="Q37" i="10"/>
  <c r="T36" i="10"/>
  <c r="S36" i="10"/>
  <c r="R36" i="10"/>
  <c r="Q36" i="10"/>
  <c r="T35" i="10"/>
  <c r="S35" i="10"/>
  <c r="R35" i="10"/>
  <c r="Q35" i="10"/>
  <c r="U35" i="10" s="1"/>
  <c r="T34" i="10"/>
  <c r="S34" i="10"/>
  <c r="R34" i="10"/>
  <c r="Q34" i="10"/>
  <c r="T33" i="10"/>
  <c r="S33" i="10"/>
  <c r="R33" i="10"/>
  <c r="Q33" i="10"/>
  <c r="T32" i="10"/>
  <c r="S32" i="10"/>
  <c r="R32" i="10"/>
  <c r="Q32" i="10"/>
  <c r="T31" i="10"/>
  <c r="S31" i="10"/>
  <c r="R31" i="10"/>
  <c r="Q31" i="10"/>
  <c r="T30" i="10"/>
  <c r="S30" i="10"/>
  <c r="R30" i="10"/>
  <c r="Q30" i="10"/>
  <c r="T29" i="10"/>
  <c r="S29" i="10"/>
  <c r="R29" i="10"/>
  <c r="Q29" i="10"/>
  <c r="U29" i="10" s="1"/>
  <c r="T28" i="10"/>
  <c r="S28" i="10"/>
  <c r="R28" i="10"/>
  <c r="Q28" i="10"/>
  <c r="T27" i="10"/>
  <c r="S27" i="10"/>
  <c r="R27" i="10"/>
  <c r="Q27" i="10"/>
  <c r="T26" i="10"/>
  <c r="S26" i="10"/>
  <c r="R26" i="10"/>
  <c r="Q26" i="10"/>
  <c r="U26" i="10" s="1"/>
  <c r="T25" i="10"/>
  <c r="S25" i="10"/>
  <c r="R25" i="10"/>
  <c r="Q25" i="10"/>
  <c r="T24" i="10"/>
  <c r="S24" i="10"/>
  <c r="R24" i="10"/>
  <c r="Q24" i="10"/>
  <c r="T23" i="10"/>
  <c r="S23" i="10"/>
  <c r="R23" i="10"/>
  <c r="Q23" i="10"/>
  <c r="U23" i="10" s="1"/>
  <c r="T22" i="10"/>
  <c r="S22" i="10"/>
  <c r="R22" i="10"/>
  <c r="Q22" i="10"/>
  <c r="T21" i="10"/>
  <c r="S21" i="10"/>
  <c r="R21" i="10"/>
  <c r="Q21" i="10"/>
  <c r="T20" i="10"/>
  <c r="S20" i="10"/>
  <c r="R20" i="10"/>
  <c r="Q20" i="10"/>
  <c r="U20" i="10" s="1"/>
  <c r="T19" i="10"/>
  <c r="S19" i="10"/>
  <c r="R19" i="10"/>
  <c r="Q19" i="10"/>
  <c r="T18" i="10"/>
  <c r="S18" i="10"/>
  <c r="R18" i="10"/>
  <c r="Q18" i="10"/>
  <c r="T17" i="10"/>
  <c r="S17" i="10"/>
  <c r="R17" i="10"/>
  <c r="Q17" i="10"/>
  <c r="U17" i="10" s="1"/>
  <c r="T16" i="10"/>
  <c r="S16" i="10"/>
  <c r="R16" i="10"/>
  <c r="Q16" i="10"/>
  <c r="T15" i="10"/>
  <c r="S15" i="10"/>
  <c r="R15" i="10"/>
  <c r="Q15" i="10"/>
  <c r="T14" i="10"/>
  <c r="S14" i="10"/>
  <c r="R14" i="10"/>
  <c r="Q14" i="10"/>
  <c r="U14" i="10" s="1"/>
  <c r="T13" i="10"/>
  <c r="S13" i="10"/>
  <c r="R13" i="10"/>
  <c r="Q13" i="10"/>
  <c r="T12" i="10"/>
  <c r="S12" i="10"/>
  <c r="R12" i="10"/>
  <c r="Q12" i="10"/>
  <c r="T11" i="10"/>
  <c r="S11" i="10"/>
  <c r="R11" i="10"/>
  <c r="Q11" i="10"/>
  <c r="U11" i="10" s="1"/>
  <c r="T10" i="10"/>
  <c r="S10" i="10"/>
  <c r="R10" i="10"/>
  <c r="Q10" i="10"/>
  <c r="T9" i="10"/>
  <c r="S9" i="10"/>
  <c r="R9" i="10"/>
  <c r="Q9" i="10"/>
  <c r="T8" i="10"/>
  <c r="S8" i="10"/>
  <c r="R8" i="10"/>
  <c r="Q8" i="10"/>
  <c r="U8" i="10" s="1"/>
  <c r="T42" i="11"/>
  <c r="S42" i="11"/>
  <c r="R42" i="11"/>
  <c r="Q42" i="11"/>
  <c r="T40" i="11"/>
  <c r="S40" i="11"/>
  <c r="R40" i="11"/>
  <c r="Q40" i="11"/>
  <c r="T39" i="11"/>
  <c r="S39" i="11"/>
  <c r="R39" i="11"/>
  <c r="Q39" i="11"/>
  <c r="T38" i="11"/>
  <c r="S38" i="11"/>
  <c r="R38" i="11"/>
  <c r="Q38" i="11"/>
  <c r="T37" i="11"/>
  <c r="S37" i="11"/>
  <c r="R37" i="11"/>
  <c r="Q37" i="11"/>
  <c r="T36" i="11"/>
  <c r="S36" i="11"/>
  <c r="R36" i="11"/>
  <c r="Q36" i="11"/>
  <c r="T35" i="11"/>
  <c r="S35" i="11"/>
  <c r="R35" i="11"/>
  <c r="Q35" i="11"/>
  <c r="T34" i="11"/>
  <c r="S34" i="11"/>
  <c r="R34" i="11"/>
  <c r="Q34" i="11"/>
  <c r="T33" i="11"/>
  <c r="S33" i="11"/>
  <c r="R33" i="11"/>
  <c r="Q33" i="11"/>
  <c r="T32" i="11"/>
  <c r="S32" i="11"/>
  <c r="R32" i="11"/>
  <c r="Q32" i="11"/>
  <c r="T31" i="11"/>
  <c r="R31" i="11"/>
  <c r="Q31" i="11"/>
  <c r="T30" i="11"/>
  <c r="S30" i="11"/>
  <c r="R30" i="11"/>
  <c r="Q30" i="11"/>
  <c r="T29" i="11"/>
  <c r="S29" i="11"/>
  <c r="R29" i="11"/>
  <c r="Q29" i="11"/>
  <c r="T28" i="11"/>
  <c r="S28" i="11"/>
  <c r="R28" i="11"/>
  <c r="Q28" i="11"/>
  <c r="T27" i="11"/>
  <c r="S27" i="11"/>
  <c r="R27" i="11"/>
  <c r="Q27" i="11"/>
  <c r="T26" i="11"/>
  <c r="S26" i="11"/>
  <c r="R26" i="11"/>
  <c r="Q26" i="11"/>
  <c r="T25" i="11"/>
  <c r="S25" i="11"/>
  <c r="R25" i="11"/>
  <c r="Q25" i="11"/>
  <c r="T24" i="11"/>
  <c r="S24" i="11"/>
  <c r="R24" i="11"/>
  <c r="Q24" i="11"/>
  <c r="T23" i="11"/>
  <c r="S23" i="11"/>
  <c r="R23" i="11"/>
  <c r="Q23" i="11"/>
  <c r="T22" i="11"/>
  <c r="S22" i="11"/>
  <c r="R22" i="11"/>
  <c r="Q22" i="11"/>
  <c r="T21" i="11"/>
  <c r="S21" i="11"/>
  <c r="R21" i="11"/>
  <c r="Q21" i="11"/>
  <c r="T20" i="11"/>
  <c r="S20" i="11"/>
  <c r="R20" i="11"/>
  <c r="Q20" i="11"/>
  <c r="T19" i="11"/>
  <c r="S19" i="11"/>
  <c r="R19" i="11"/>
  <c r="Q19" i="11"/>
  <c r="T18" i="11"/>
  <c r="S18" i="11"/>
  <c r="R18" i="11"/>
  <c r="Q18" i="11"/>
  <c r="U18" i="11" s="1"/>
  <c r="T17" i="11"/>
  <c r="S17" i="11"/>
  <c r="R17" i="11"/>
  <c r="Q17" i="11"/>
  <c r="T16" i="11"/>
  <c r="S16" i="11"/>
  <c r="R16" i="11"/>
  <c r="Q16" i="11"/>
  <c r="T15" i="11"/>
  <c r="S15" i="11"/>
  <c r="R15" i="11"/>
  <c r="Q15" i="11"/>
  <c r="U15" i="11" s="1"/>
  <c r="T14" i="11"/>
  <c r="S14" i="11"/>
  <c r="R14" i="11"/>
  <c r="Q14" i="11"/>
  <c r="T13" i="11"/>
  <c r="S13" i="11"/>
  <c r="R13" i="11"/>
  <c r="Q13" i="11"/>
  <c r="T12" i="11"/>
  <c r="S12" i="11"/>
  <c r="R12" i="11"/>
  <c r="Q12" i="11"/>
  <c r="U12" i="11" s="1"/>
  <c r="T11" i="11"/>
  <c r="S11" i="11"/>
  <c r="R11" i="11"/>
  <c r="Q11" i="11"/>
  <c r="T10" i="11"/>
  <c r="S10" i="11"/>
  <c r="R10" i="11"/>
  <c r="Q10" i="11"/>
  <c r="T9" i="11"/>
  <c r="S9" i="11"/>
  <c r="R9" i="11"/>
  <c r="Q9" i="11"/>
  <c r="T8" i="11"/>
  <c r="S8" i="11"/>
  <c r="R8" i="11"/>
  <c r="Q8" i="11"/>
  <c r="T46" i="9"/>
  <c r="S46" i="9"/>
  <c r="R46" i="9"/>
  <c r="Q46" i="9"/>
  <c r="T44" i="9"/>
  <c r="S44" i="9"/>
  <c r="R44" i="9"/>
  <c r="Q44" i="9"/>
  <c r="T43" i="9"/>
  <c r="S43" i="9"/>
  <c r="R43" i="9"/>
  <c r="Q43" i="9"/>
  <c r="T42" i="9"/>
  <c r="S42" i="9"/>
  <c r="R42" i="9"/>
  <c r="Q42" i="9"/>
  <c r="T41" i="9"/>
  <c r="S41" i="9"/>
  <c r="R41" i="9"/>
  <c r="Q41" i="9"/>
  <c r="T40" i="9"/>
  <c r="S40" i="9"/>
  <c r="R40" i="9"/>
  <c r="Q40" i="9"/>
  <c r="T39" i="9"/>
  <c r="S39" i="9"/>
  <c r="R39" i="9"/>
  <c r="Q39" i="9"/>
  <c r="T38" i="9"/>
  <c r="S38" i="9"/>
  <c r="R38" i="9"/>
  <c r="Q38" i="9"/>
  <c r="T37" i="9"/>
  <c r="S37" i="9"/>
  <c r="R37" i="9"/>
  <c r="Q37" i="9"/>
  <c r="T36" i="9"/>
  <c r="S36" i="9"/>
  <c r="R36" i="9"/>
  <c r="Q36" i="9"/>
  <c r="T35" i="9"/>
  <c r="S35" i="9"/>
  <c r="R35" i="9"/>
  <c r="Q35" i="9"/>
  <c r="T34" i="9"/>
  <c r="S34" i="9"/>
  <c r="R34" i="9"/>
  <c r="Q34" i="9"/>
  <c r="T33" i="9"/>
  <c r="S33" i="9"/>
  <c r="R33" i="9"/>
  <c r="Q33" i="9"/>
  <c r="T32" i="9"/>
  <c r="S32" i="9"/>
  <c r="R32" i="9"/>
  <c r="Q32" i="9"/>
  <c r="T31" i="9"/>
  <c r="S31" i="9"/>
  <c r="R31" i="9"/>
  <c r="Q31" i="9"/>
  <c r="T30" i="9"/>
  <c r="S30" i="9"/>
  <c r="R30" i="9"/>
  <c r="Q30" i="9"/>
  <c r="T29" i="9"/>
  <c r="S29" i="9"/>
  <c r="R29" i="9"/>
  <c r="Q29" i="9"/>
  <c r="T28" i="9"/>
  <c r="S28" i="9"/>
  <c r="R28" i="9"/>
  <c r="Q28" i="9"/>
  <c r="T27" i="9"/>
  <c r="S27" i="9"/>
  <c r="R27" i="9"/>
  <c r="Q27" i="9"/>
  <c r="T26" i="9"/>
  <c r="S26" i="9"/>
  <c r="R26" i="9"/>
  <c r="Q26" i="9"/>
  <c r="T25" i="9"/>
  <c r="S25" i="9"/>
  <c r="R25" i="9"/>
  <c r="Q25" i="9"/>
  <c r="T24" i="9"/>
  <c r="S24" i="9"/>
  <c r="R24" i="9"/>
  <c r="Q24" i="9"/>
  <c r="T23" i="9"/>
  <c r="S23" i="9"/>
  <c r="R23" i="9"/>
  <c r="Q23" i="9"/>
  <c r="T22" i="9"/>
  <c r="S22" i="9"/>
  <c r="R22" i="9"/>
  <c r="Q22" i="9"/>
  <c r="T21" i="9"/>
  <c r="S21" i="9"/>
  <c r="R21" i="9"/>
  <c r="Q21" i="9"/>
  <c r="T20" i="9"/>
  <c r="S20" i="9"/>
  <c r="R20" i="9"/>
  <c r="Q20" i="9"/>
  <c r="T19" i="9"/>
  <c r="S19" i="9"/>
  <c r="R19" i="9"/>
  <c r="Q19" i="9"/>
  <c r="T18" i="9"/>
  <c r="S18" i="9"/>
  <c r="R18" i="9"/>
  <c r="Q18" i="9"/>
  <c r="T17" i="9"/>
  <c r="S17" i="9"/>
  <c r="R17" i="9"/>
  <c r="Q17" i="9"/>
  <c r="U17" i="9" s="1"/>
  <c r="T16" i="9"/>
  <c r="S16" i="9"/>
  <c r="R16" i="9"/>
  <c r="Q16" i="9"/>
  <c r="T15" i="9"/>
  <c r="S15" i="9"/>
  <c r="R15" i="9"/>
  <c r="Q15" i="9"/>
  <c r="T14" i="9"/>
  <c r="S14" i="9"/>
  <c r="R14" i="9"/>
  <c r="Q14" i="9"/>
  <c r="U14" i="9" s="1"/>
  <c r="T13" i="9"/>
  <c r="S13" i="9"/>
  <c r="R13" i="9"/>
  <c r="Q13" i="9"/>
  <c r="T12" i="9"/>
  <c r="S12" i="9"/>
  <c r="R12" i="9"/>
  <c r="Q12" i="9"/>
  <c r="T11" i="9"/>
  <c r="S11" i="9"/>
  <c r="R11" i="9"/>
  <c r="Q11" i="9"/>
  <c r="U11" i="9" s="1"/>
  <c r="T10" i="9"/>
  <c r="S10" i="9"/>
  <c r="R10" i="9"/>
  <c r="Q10" i="9"/>
  <c r="T9" i="9"/>
  <c r="S9" i="9"/>
  <c r="R9" i="9"/>
  <c r="Q9" i="9"/>
  <c r="T8" i="9"/>
  <c r="S8" i="9"/>
  <c r="R8" i="9"/>
  <c r="Q8" i="9"/>
  <c r="T47" i="8"/>
  <c r="S47" i="8"/>
  <c r="R47" i="8"/>
  <c r="Q47" i="8"/>
  <c r="T45" i="8"/>
  <c r="S45" i="8"/>
  <c r="R45" i="8"/>
  <c r="Q45" i="8"/>
  <c r="T44" i="8"/>
  <c r="S44" i="8"/>
  <c r="R44" i="8"/>
  <c r="Q44" i="8"/>
  <c r="T43" i="8"/>
  <c r="S43" i="8"/>
  <c r="R43" i="8"/>
  <c r="Q43" i="8"/>
  <c r="T42" i="8"/>
  <c r="S42" i="8"/>
  <c r="R42" i="8"/>
  <c r="Q42" i="8"/>
  <c r="T41" i="8"/>
  <c r="S41" i="8"/>
  <c r="R41" i="8"/>
  <c r="Q41" i="8"/>
  <c r="U41" i="8" s="1"/>
  <c r="T40" i="8"/>
  <c r="S40" i="8"/>
  <c r="R40" i="8"/>
  <c r="Q40" i="8"/>
  <c r="T39" i="8"/>
  <c r="S39" i="8"/>
  <c r="R39" i="8"/>
  <c r="Q39" i="8"/>
  <c r="T38" i="8"/>
  <c r="S38" i="8"/>
  <c r="R38" i="8"/>
  <c r="Q38" i="8"/>
  <c r="T37" i="8"/>
  <c r="S37" i="8"/>
  <c r="R37" i="8"/>
  <c r="Q37" i="8"/>
  <c r="T36" i="8"/>
  <c r="R36" i="8"/>
  <c r="Q36" i="8"/>
  <c r="T35" i="8"/>
  <c r="S35" i="8"/>
  <c r="R35" i="8"/>
  <c r="Q35" i="8"/>
  <c r="U35" i="8" s="1"/>
  <c r="T34" i="8"/>
  <c r="S34" i="8"/>
  <c r="R34" i="8"/>
  <c r="Q34" i="8"/>
  <c r="T33" i="8"/>
  <c r="S33" i="8"/>
  <c r="R33" i="8"/>
  <c r="Q33" i="8"/>
  <c r="T32" i="8"/>
  <c r="S32" i="8"/>
  <c r="R32" i="8"/>
  <c r="Q32" i="8"/>
  <c r="U32" i="8" s="1"/>
  <c r="T31" i="8"/>
  <c r="S31" i="8"/>
  <c r="R31" i="8"/>
  <c r="Q31" i="8"/>
  <c r="T30" i="8"/>
  <c r="S30" i="8"/>
  <c r="R30" i="8"/>
  <c r="Q30" i="8"/>
  <c r="T29" i="8"/>
  <c r="S29" i="8"/>
  <c r="R29" i="8"/>
  <c r="Q29" i="8"/>
  <c r="U29" i="8" s="1"/>
  <c r="T28" i="8"/>
  <c r="S28" i="8"/>
  <c r="R28" i="8"/>
  <c r="Q28" i="8"/>
  <c r="T27" i="8"/>
  <c r="S27" i="8"/>
  <c r="R27" i="8"/>
  <c r="Q27" i="8"/>
  <c r="T26" i="8"/>
  <c r="S26" i="8"/>
  <c r="R26" i="8"/>
  <c r="Q26" i="8"/>
  <c r="U26" i="8" s="1"/>
  <c r="T25" i="8"/>
  <c r="S25" i="8"/>
  <c r="R25" i="8"/>
  <c r="Q25" i="8"/>
  <c r="T24" i="8"/>
  <c r="S24" i="8"/>
  <c r="R24" i="8"/>
  <c r="Q24" i="8"/>
  <c r="T23" i="8"/>
  <c r="S23" i="8"/>
  <c r="R23" i="8"/>
  <c r="Q23" i="8"/>
  <c r="U23" i="8" s="1"/>
  <c r="T22" i="8"/>
  <c r="S22" i="8"/>
  <c r="R22" i="8"/>
  <c r="Q22" i="8"/>
  <c r="T21" i="8"/>
  <c r="S21" i="8"/>
  <c r="R21" i="8"/>
  <c r="Q21" i="8"/>
  <c r="T20" i="8"/>
  <c r="S20" i="8"/>
  <c r="R20" i="8"/>
  <c r="Q20" i="8"/>
  <c r="T19" i="8"/>
  <c r="S19" i="8"/>
  <c r="R19" i="8"/>
  <c r="Q19" i="8"/>
  <c r="T18" i="8"/>
  <c r="S18" i="8"/>
  <c r="R18" i="8"/>
  <c r="Q18" i="8"/>
  <c r="T17" i="8"/>
  <c r="S17" i="8"/>
  <c r="R17" i="8"/>
  <c r="Q17" i="8"/>
  <c r="U17" i="8" s="1"/>
  <c r="T16" i="8"/>
  <c r="S16" i="8"/>
  <c r="R16" i="8"/>
  <c r="Q16" i="8"/>
  <c r="T15" i="8"/>
  <c r="S15" i="8"/>
  <c r="R15" i="8"/>
  <c r="Q15" i="8"/>
  <c r="T14" i="8"/>
  <c r="S14" i="8"/>
  <c r="R14" i="8"/>
  <c r="Q14" i="8"/>
  <c r="U14" i="8" s="1"/>
  <c r="T13" i="8"/>
  <c r="S13" i="8"/>
  <c r="R13" i="8"/>
  <c r="Q13" i="8"/>
  <c r="T12" i="8"/>
  <c r="S12" i="8"/>
  <c r="R12" i="8"/>
  <c r="Q12" i="8"/>
  <c r="T11" i="8"/>
  <c r="S11" i="8"/>
  <c r="R11" i="8"/>
  <c r="Q11" i="8"/>
  <c r="U11" i="8" s="1"/>
  <c r="T10" i="8"/>
  <c r="S10" i="8"/>
  <c r="R10" i="8"/>
  <c r="Q10" i="8"/>
  <c r="T9" i="8"/>
  <c r="S9" i="8"/>
  <c r="R9" i="8"/>
  <c r="Q9" i="8"/>
  <c r="T8" i="8"/>
  <c r="S8" i="8"/>
  <c r="R8" i="8"/>
  <c r="Q8" i="8"/>
  <c r="T35" i="14"/>
  <c r="S35" i="14"/>
  <c r="R35" i="14"/>
  <c r="Q35" i="14"/>
  <c r="M34" i="14"/>
  <c r="R34" i="14" s="1"/>
  <c r="O34" i="14"/>
  <c r="T34" i="14" s="1"/>
  <c r="N34" i="14"/>
  <c r="S34" i="14" s="1"/>
  <c r="L34" i="14"/>
  <c r="Q34" i="14" s="1"/>
  <c r="M39" i="13"/>
  <c r="R39" i="13" s="1"/>
  <c r="O39" i="13"/>
  <c r="T39" i="13" s="1"/>
  <c r="L39" i="13"/>
  <c r="Q39" i="13" s="1"/>
  <c r="M38" i="12"/>
  <c r="R38" i="12" s="1"/>
  <c r="O38" i="12"/>
  <c r="T38" i="12" s="1"/>
  <c r="N38" i="12"/>
  <c r="S38" i="12" s="1"/>
  <c r="L38" i="12"/>
  <c r="Q38" i="12" s="1"/>
  <c r="M41" i="11"/>
  <c r="R41" i="11" s="1"/>
  <c r="O41" i="11"/>
  <c r="T41" i="11" s="1"/>
  <c r="L41" i="11"/>
  <c r="M40" i="10"/>
  <c r="R40" i="10" s="1"/>
  <c r="O40" i="10"/>
  <c r="T40" i="10" s="1"/>
  <c r="N40" i="10"/>
  <c r="S40" i="10" s="1"/>
  <c r="L40" i="10"/>
  <c r="Q40" i="10" s="1"/>
  <c r="M45" i="9"/>
  <c r="R45" i="9" s="1"/>
  <c r="O45" i="9"/>
  <c r="T45" i="9" s="1"/>
  <c r="N45" i="9"/>
  <c r="S45" i="9" s="1"/>
  <c r="L45" i="9"/>
  <c r="M46" i="8"/>
  <c r="R46" i="8" s="1"/>
  <c r="O46" i="8"/>
  <c r="T46" i="8" s="1"/>
  <c r="L46" i="8"/>
  <c r="M40" i="2"/>
  <c r="R40" i="2" s="1"/>
  <c r="F18" i="7" l="1"/>
  <c r="F21" i="7"/>
  <c r="F23" i="7"/>
  <c r="F41" i="7"/>
  <c r="F32" i="7"/>
  <c r="F43" i="7"/>
  <c r="F35" i="7"/>
  <c r="F37" i="7"/>
  <c r="F44" i="7"/>
  <c r="U9" i="6"/>
  <c r="F9" i="7"/>
  <c r="U16" i="4"/>
  <c r="U42" i="6"/>
  <c r="P32" i="5"/>
  <c r="U15" i="6"/>
  <c r="U9" i="8"/>
  <c r="U24" i="8"/>
  <c r="U12" i="9"/>
  <c r="U13" i="11"/>
  <c r="U16" i="11"/>
  <c r="U19" i="11"/>
  <c r="U9" i="10"/>
  <c r="U15" i="10"/>
  <c r="U18" i="10"/>
  <c r="U21" i="10"/>
  <c r="U24" i="10"/>
  <c r="U27" i="10"/>
  <c r="U30" i="10"/>
  <c r="U15" i="2"/>
  <c r="U18" i="2"/>
  <c r="U21" i="2"/>
  <c r="U24" i="2"/>
  <c r="U30" i="2"/>
  <c r="U33" i="2"/>
  <c r="N53" i="5"/>
  <c r="U15" i="8"/>
  <c r="U21" i="8"/>
  <c r="U39" i="8"/>
  <c r="U15" i="9"/>
  <c r="U10" i="11"/>
  <c r="O50" i="4"/>
  <c r="R53" i="5"/>
  <c r="U13" i="6"/>
  <c r="N54" i="6"/>
  <c r="U12" i="8"/>
  <c r="U18" i="8"/>
  <c r="U30" i="8"/>
  <c r="U18" i="9"/>
  <c r="N46" i="8"/>
  <c r="S46" i="8" s="1"/>
  <c r="N41" i="11"/>
  <c r="S41" i="11" s="1"/>
  <c r="S36" i="8"/>
  <c r="S31" i="11"/>
  <c r="U31" i="11" s="1"/>
  <c r="U21" i="6"/>
  <c r="U11" i="5"/>
  <c r="U33" i="5"/>
  <c r="U38" i="5"/>
  <c r="U34" i="6"/>
  <c r="U52" i="6"/>
  <c r="U10" i="8"/>
  <c r="U13" i="8"/>
  <c r="U16" i="8"/>
  <c r="U19" i="8"/>
  <c r="U22" i="8"/>
  <c r="U28" i="8"/>
  <c r="U40" i="8"/>
  <c r="U10" i="9"/>
  <c r="U13" i="9"/>
  <c r="U16" i="9"/>
  <c r="U8" i="11"/>
  <c r="U11" i="11"/>
  <c r="U14" i="11"/>
  <c r="U20" i="11"/>
  <c r="U10" i="10"/>
  <c r="U13" i="10"/>
  <c r="U22" i="10"/>
  <c r="U25" i="10"/>
  <c r="U10" i="2"/>
  <c r="U13" i="2"/>
  <c r="U19" i="2"/>
  <c r="U22" i="2"/>
  <c r="U25" i="2"/>
  <c r="U34" i="2"/>
  <c r="U11" i="6"/>
  <c r="F36" i="7"/>
  <c r="U48" i="4"/>
  <c r="U9" i="5"/>
  <c r="U31" i="5"/>
  <c r="U36" i="5"/>
  <c r="U29" i="6"/>
  <c r="U47" i="6"/>
  <c r="F10" i="7"/>
  <c r="U8" i="14"/>
  <c r="U17" i="5"/>
  <c r="U25" i="5"/>
  <c r="U27" i="5"/>
  <c r="U48" i="5"/>
  <c r="U51" i="5"/>
  <c r="U27" i="4"/>
  <c r="U44" i="4"/>
  <c r="U9" i="4"/>
  <c r="U30" i="4"/>
  <c r="U38" i="4"/>
  <c r="U41" i="4"/>
  <c r="U43" i="8"/>
  <c r="U44" i="8"/>
  <c r="U47" i="8"/>
  <c r="U9" i="9"/>
  <c r="U19" i="9"/>
  <c r="U21" i="9"/>
  <c r="U22" i="9"/>
  <c r="U23" i="9"/>
  <c r="U25" i="9"/>
  <c r="U26" i="9"/>
  <c r="U27" i="9"/>
  <c r="U31" i="9"/>
  <c r="U34" i="9"/>
  <c r="U35" i="9"/>
  <c r="U40" i="9"/>
  <c r="U42" i="9"/>
  <c r="U43" i="9"/>
  <c r="U44" i="9"/>
  <c r="U46" i="9"/>
  <c r="U21" i="11"/>
  <c r="U22" i="11"/>
  <c r="U23" i="11"/>
  <c r="U9" i="11"/>
  <c r="U24" i="11"/>
  <c r="U25" i="11"/>
  <c r="U26" i="11"/>
  <c r="U27" i="11"/>
  <c r="U28" i="11"/>
  <c r="U30" i="11"/>
  <c r="U36" i="11"/>
  <c r="U38" i="11"/>
  <c r="U39" i="11"/>
  <c r="U42" i="11"/>
  <c r="U19" i="10"/>
  <c r="U37" i="10"/>
  <c r="U38" i="10"/>
  <c r="U41" i="10"/>
  <c r="U12" i="10"/>
  <c r="U35" i="2"/>
  <c r="U37" i="2"/>
  <c r="U38" i="2"/>
  <c r="U9" i="2"/>
  <c r="U41" i="2"/>
  <c r="N39" i="13"/>
  <c r="S39" i="13" s="1"/>
  <c r="U8" i="13"/>
  <c r="U9" i="13"/>
  <c r="U10" i="13"/>
  <c r="U11" i="13"/>
  <c r="U13" i="13"/>
  <c r="U14" i="13"/>
  <c r="U15" i="13"/>
  <c r="U17" i="13"/>
  <c r="U18" i="13"/>
  <c r="U19" i="13"/>
  <c r="S20" i="13"/>
  <c r="U20" i="13" s="1"/>
  <c r="U21" i="13"/>
  <c r="U22" i="13"/>
  <c r="U23" i="13"/>
  <c r="U24" i="13"/>
  <c r="U25" i="13"/>
  <c r="U26" i="13"/>
  <c r="U29" i="13"/>
  <c r="U30" i="13"/>
  <c r="U35" i="13"/>
  <c r="U36" i="13"/>
  <c r="U37" i="13"/>
  <c r="U40" i="13"/>
  <c r="S29" i="12"/>
  <c r="U29" i="12" s="1"/>
  <c r="U8" i="12"/>
  <c r="U9" i="12"/>
  <c r="U10" i="12"/>
  <c r="U11" i="12"/>
  <c r="U12" i="12"/>
  <c r="U13" i="12"/>
  <c r="U14" i="12"/>
  <c r="U17" i="12"/>
  <c r="U18" i="12"/>
  <c r="U19" i="12"/>
  <c r="U20" i="12"/>
  <c r="U21" i="12"/>
  <c r="U22" i="12"/>
  <c r="U24" i="12"/>
  <c r="U25" i="12"/>
  <c r="U28" i="12"/>
  <c r="U30" i="12"/>
  <c r="U33" i="12"/>
  <c r="U35" i="12"/>
  <c r="U36" i="12"/>
  <c r="U39" i="12"/>
  <c r="U35" i="14"/>
  <c r="U24" i="14"/>
  <c r="U22" i="14"/>
  <c r="U20" i="14"/>
  <c r="U19" i="14"/>
  <c r="U18" i="14"/>
  <c r="U15" i="14"/>
  <c r="U23" i="14"/>
  <c r="U21" i="14"/>
  <c r="I48" i="7"/>
  <c r="G48" i="7"/>
  <c r="K47" i="7"/>
  <c r="I47" i="7"/>
  <c r="G47" i="7"/>
  <c r="K46" i="7"/>
  <c r="I46" i="7"/>
  <c r="G46" i="7"/>
  <c r="K45" i="7"/>
  <c r="I45" i="7"/>
  <c r="G45" i="7"/>
  <c r="K44" i="7"/>
  <c r="I44" i="7"/>
  <c r="G44" i="7"/>
  <c r="J43" i="7"/>
  <c r="H43" i="7"/>
  <c r="J42" i="7"/>
  <c r="H42" i="7"/>
  <c r="J41" i="7"/>
  <c r="H41" i="7"/>
  <c r="J40" i="7"/>
  <c r="H40" i="7"/>
  <c r="I39" i="7"/>
  <c r="G39" i="7"/>
  <c r="K38" i="7"/>
  <c r="I38" i="7"/>
  <c r="G38" i="7"/>
  <c r="K37" i="7"/>
  <c r="I37" i="7"/>
  <c r="G37" i="7"/>
  <c r="J36" i="7"/>
  <c r="H36" i="7"/>
  <c r="I35" i="7"/>
  <c r="G35" i="7"/>
  <c r="K34" i="7"/>
  <c r="I34" i="7"/>
  <c r="G34" i="7"/>
  <c r="K33" i="7"/>
  <c r="I33" i="7"/>
  <c r="G33" i="7"/>
  <c r="K32" i="7"/>
  <c r="I32" i="7"/>
  <c r="G32" i="7"/>
  <c r="K31" i="7"/>
  <c r="I31" i="7"/>
  <c r="G31" i="7"/>
  <c r="K30" i="7"/>
  <c r="I30" i="7"/>
  <c r="G30" i="7"/>
  <c r="K29" i="7"/>
  <c r="I29" i="7"/>
  <c r="G29" i="7"/>
  <c r="J28" i="7"/>
  <c r="H28" i="7"/>
  <c r="J27" i="7"/>
  <c r="H27" i="7"/>
  <c r="J26" i="7"/>
  <c r="H26" i="7"/>
  <c r="J25" i="7"/>
  <c r="H25" i="7"/>
  <c r="J24" i="7"/>
  <c r="H24" i="7"/>
  <c r="J23" i="7"/>
  <c r="H23" i="7"/>
  <c r="J22" i="7"/>
  <c r="H22" i="7"/>
  <c r="K21" i="7"/>
  <c r="I21" i="7"/>
  <c r="G21" i="7"/>
  <c r="I20" i="7"/>
  <c r="G20" i="7"/>
  <c r="K19" i="7"/>
  <c r="I19" i="7"/>
  <c r="G19" i="7"/>
  <c r="K18" i="7"/>
  <c r="I18" i="7"/>
  <c r="G18" i="7"/>
  <c r="K17" i="7"/>
  <c r="I17" i="7"/>
  <c r="G17" i="7"/>
  <c r="K16" i="7"/>
  <c r="I16" i="7"/>
  <c r="G16" i="7"/>
  <c r="K15" i="7"/>
  <c r="I15" i="7"/>
  <c r="G15" i="7"/>
  <c r="J14" i="7"/>
  <c r="H14" i="7"/>
  <c r="I13" i="7"/>
  <c r="G13" i="7"/>
  <c r="K12" i="7"/>
  <c r="I12" i="7"/>
  <c r="G12" i="7"/>
  <c r="K11" i="7"/>
  <c r="I11" i="7"/>
  <c r="G11" i="7"/>
  <c r="K10" i="7"/>
  <c r="I10" i="7"/>
  <c r="G10" i="7"/>
  <c r="J9" i="7"/>
  <c r="H9" i="7"/>
  <c r="J8" i="7"/>
  <c r="H8" i="7"/>
  <c r="J48" i="7"/>
  <c r="H48" i="7"/>
  <c r="J47" i="7"/>
  <c r="H47" i="7"/>
  <c r="J46" i="7"/>
  <c r="H46" i="7"/>
  <c r="J45" i="7"/>
  <c r="H45" i="7"/>
  <c r="J44" i="7"/>
  <c r="H44" i="7"/>
  <c r="K43" i="7"/>
  <c r="I43" i="7"/>
  <c r="G43" i="7"/>
  <c r="K42" i="7"/>
  <c r="I42" i="7"/>
  <c r="G42" i="7"/>
  <c r="K41" i="7"/>
  <c r="I41" i="7"/>
  <c r="G41" i="7"/>
  <c r="K40" i="7"/>
  <c r="I40" i="7"/>
  <c r="G40" i="7"/>
  <c r="J39" i="7"/>
  <c r="H39" i="7"/>
  <c r="J38" i="7"/>
  <c r="H38" i="7"/>
  <c r="J37" i="7"/>
  <c r="H37" i="7"/>
  <c r="K36" i="7"/>
  <c r="I36" i="7"/>
  <c r="G36" i="7"/>
  <c r="J35" i="7"/>
  <c r="H35" i="7"/>
  <c r="J34" i="7"/>
  <c r="H34" i="7"/>
  <c r="J33" i="7"/>
  <c r="H33" i="7"/>
  <c r="J32" i="7"/>
  <c r="H32" i="7"/>
  <c r="J31" i="7"/>
  <c r="H31" i="7"/>
  <c r="J30" i="7"/>
  <c r="H30" i="7"/>
  <c r="J29" i="7"/>
  <c r="H29" i="7"/>
  <c r="K28" i="7"/>
  <c r="I28" i="7"/>
  <c r="G28" i="7"/>
  <c r="K27" i="7"/>
  <c r="I27" i="7"/>
  <c r="G27" i="7"/>
  <c r="K26" i="7"/>
  <c r="I26" i="7"/>
  <c r="G26" i="7"/>
  <c r="K25" i="7"/>
  <c r="I25" i="7"/>
  <c r="G25" i="7"/>
  <c r="K24" i="7"/>
  <c r="I24" i="7"/>
  <c r="G24" i="7"/>
  <c r="K23" i="7"/>
  <c r="I23" i="7"/>
  <c r="G23" i="7"/>
  <c r="K22" i="7"/>
  <c r="I22" i="7"/>
  <c r="G22" i="7"/>
  <c r="J21" i="7"/>
  <c r="H21" i="7"/>
  <c r="J20" i="7"/>
  <c r="H20" i="7"/>
  <c r="J19" i="7"/>
  <c r="H19" i="7"/>
  <c r="J18" i="7"/>
  <c r="H18" i="7"/>
  <c r="J17" i="7"/>
  <c r="H17" i="7"/>
  <c r="J16" i="7"/>
  <c r="H16" i="7"/>
  <c r="J15" i="7"/>
  <c r="H15" i="7"/>
  <c r="K14" i="7"/>
  <c r="I14" i="7"/>
  <c r="G14" i="7"/>
  <c r="J13" i="7"/>
  <c r="H13" i="7"/>
  <c r="J12" i="7"/>
  <c r="H12" i="7"/>
  <c r="J11" i="7"/>
  <c r="H11" i="7"/>
  <c r="J10" i="7"/>
  <c r="H10" i="7"/>
  <c r="K9" i="7"/>
  <c r="I9" i="7"/>
  <c r="G9" i="7"/>
  <c r="K8" i="7"/>
  <c r="I8" i="7"/>
  <c r="G8" i="7"/>
  <c r="K13" i="7"/>
  <c r="K20" i="7"/>
  <c r="K39" i="7"/>
  <c r="K48" i="7"/>
  <c r="K35" i="7"/>
  <c r="E48" i="7"/>
  <c r="C48" i="7"/>
  <c r="E47" i="7"/>
  <c r="C47" i="7"/>
  <c r="E46" i="7"/>
  <c r="C46" i="7"/>
  <c r="E45" i="7"/>
  <c r="C45" i="7"/>
  <c r="E44" i="7"/>
  <c r="C44" i="7"/>
  <c r="D43" i="7"/>
  <c r="B43" i="7"/>
  <c r="F42" i="7"/>
  <c r="D42" i="7"/>
  <c r="B42" i="7"/>
  <c r="D41" i="7"/>
  <c r="B41" i="7"/>
  <c r="D40" i="7"/>
  <c r="B40" i="7"/>
  <c r="E39" i="7"/>
  <c r="C39" i="7"/>
  <c r="E38" i="7"/>
  <c r="C38" i="7"/>
  <c r="E37" i="7"/>
  <c r="C37" i="7"/>
  <c r="B36" i="7"/>
  <c r="E35" i="7"/>
  <c r="C35" i="7"/>
  <c r="E34" i="7"/>
  <c r="C34" i="7"/>
  <c r="E33" i="7"/>
  <c r="C33" i="7"/>
  <c r="E32" i="7"/>
  <c r="C32" i="7"/>
  <c r="E31" i="7"/>
  <c r="C31" i="7"/>
  <c r="E30" i="7"/>
  <c r="C30" i="7"/>
  <c r="E29" i="7"/>
  <c r="C29" i="7"/>
  <c r="F28" i="7"/>
  <c r="D28" i="7"/>
  <c r="B28" i="7"/>
  <c r="F27" i="7"/>
  <c r="D27" i="7"/>
  <c r="B27" i="7"/>
  <c r="F26" i="7"/>
  <c r="D26" i="7"/>
  <c r="B26" i="7"/>
  <c r="D25" i="7"/>
  <c r="B25" i="7"/>
  <c r="F24" i="7"/>
  <c r="D24" i="7"/>
  <c r="B24" i="7"/>
  <c r="D23" i="7"/>
  <c r="B23" i="7"/>
  <c r="F22" i="7"/>
  <c r="D22" i="7"/>
  <c r="B22" i="7"/>
  <c r="E21" i="7"/>
  <c r="C21" i="7"/>
  <c r="E20" i="7"/>
  <c r="C20" i="7"/>
  <c r="E19" i="7"/>
  <c r="C19" i="7"/>
  <c r="E18" i="7"/>
  <c r="C18" i="7"/>
  <c r="E17" i="7"/>
  <c r="C17" i="7"/>
  <c r="E16" i="7"/>
  <c r="C16" i="7"/>
  <c r="E15" i="7"/>
  <c r="C15" i="7"/>
  <c r="D14" i="7"/>
  <c r="B14" i="7"/>
  <c r="E13" i="7"/>
  <c r="C13" i="7"/>
  <c r="E12" i="7"/>
  <c r="C12" i="7"/>
  <c r="E11" i="7"/>
  <c r="C11" i="7"/>
  <c r="E10" i="7"/>
  <c r="C10" i="7"/>
  <c r="D9" i="7"/>
  <c r="B9" i="7"/>
  <c r="F8" i="7"/>
  <c r="D8" i="7"/>
  <c r="B8" i="7"/>
  <c r="D48" i="7"/>
  <c r="B48" i="7"/>
  <c r="F47" i="7"/>
  <c r="D47" i="7"/>
  <c r="B47" i="7"/>
  <c r="F46" i="7"/>
  <c r="D46" i="7"/>
  <c r="B46" i="7"/>
  <c r="F45" i="7"/>
  <c r="D45" i="7"/>
  <c r="B45" i="7"/>
  <c r="D44" i="7"/>
  <c r="B44" i="7"/>
  <c r="E43" i="7"/>
  <c r="C43" i="7"/>
  <c r="E42" i="7"/>
  <c r="C42" i="7"/>
  <c r="E41" i="7"/>
  <c r="C41" i="7"/>
  <c r="E40" i="7"/>
  <c r="C40" i="7"/>
  <c r="D39" i="7"/>
  <c r="B39" i="7"/>
  <c r="F38" i="7"/>
  <c r="D38" i="7"/>
  <c r="B38" i="7"/>
  <c r="D37" i="7"/>
  <c r="B37" i="7"/>
  <c r="E36" i="7"/>
  <c r="C36" i="7"/>
  <c r="D35" i="7"/>
  <c r="B35" i="7"/>
  <c r="F34" i="7"/>
  <c r="D34" i="7"/>
  <c r="B34" i="7"/>
  <c r="D33" i="7"/>
  <c r="B33" i="7"/>
  <c r="D32" i="7"/>
  <c r="B32" i="7"/>
  <c r="F31" i="7"/>
  <c r="D31" i="7"/>
  <c r="B31" i="7"/>
  <c r="D30" i="7"/>
  <c r="B30" i="7"/>
  <c r="F29" i="7"/>
  <c r="D29" i="7"/>
  <c r="B29" i="7"/>
  <c r="E28" i="7"/>
  <c r="C28" i="7"/>
  <c r="E27" i="7"/>
  <c r="C27" i="7"/>
  <c r="E26" i="7"/>
  <c r="C26" i="7"/>
  <c r="E25" i="7"/>
  <c r="C25" i="7"/>
  <c r="E24" i="7"/>
  <c r="C24" i="7"/>
  <c r="E23" i="7"/>
  <c r="C23" i="7"/>
  <c r="E22" i="7"/>
  <c r="C22" i="7"/>
  <c r="D21" i="7"/>
  <c r="B21" i="7"/>
  <c r="F20" i="7"/>
  <c r="D20" i="7"/>
  <c r="B20" i="7"/>
  <c r="F19" i="7"/>
  <c r="D19" i="7"/>
  <c r="B19" i="7"/>
  <c r="D18" i="7"/>
  <c r="B18" i="7"/>
  <c r="D17" i="7"/>
  <c r="B17" i="7"/>
  <c r="F16" i="7"/>
  <c r="D16" i="7"/>
  <c r="B16" i="7"/>
  <c r="F15" i="7"/>
  <c r="D15" i="7"/>
  <c r="B15" i="7"/>
  <c r="E14" i="7"/>
  <c r="C14" i="7"/>
  <c r="D13" i="7"/>
  <c r="B13" i="7"/>
  <c r="F12" i="7"/>
  <c r="D12" i="7"/>
  <c r="B12" i="7"/>
  <c r="F11" i="7"/>
  <c r="D11" i="7"/>
  <c r="B11" i="7"/>
  <c r="D10" i="7"/>
  <c r="B10" i="7"/>
  <c r="E9" i="7"/>
  <c r="C9" i="7"/>
  <c r="E8" i="7"/>
  <c r="C8" i="7"/>
  <c r="F48" i="7"/>
  <c r="F39" i="7"/>
  <c r="F30" i="7"/>
  <c r="F17" i="7"/>
  <c r="F13" i="7"/>
  <c r="F40" i="7"/>
  <c r="D36" i="7"/>
  <c r="F33" i="7"/>
  <c r="F25" i="7"/>
  <c r="F14" i="7"/>
  <c r="U39" i="9"/>
  <c r="U35" i="11"/>
  <c r="U34" i="10"/>
  <c r="U34" i="13"/>
  <c r="U33" i="14"/>
  <c r="U31" i="14"/>
  <c r="U30" i="14"/>
  <c r="U28" i="14"/>
  <c r="U26" i="14"/>
  <c r="U17" i="14"/>
  <c r="U14" i="14"/>
  <c r="U32" i="14"/>
  <c r="U29" i="14"/>
  <c r="U27" i="14"/>
  <c r="U12" i="14"/>
  <c r="U51" i="6"/>
  <c r="P51" i="6"/>
  <c r="U15" i="5"/>
  <c r="U12" i="2"/>
  <c r="U12" i="13"/>
  <c r="U25" i="14"/>
  <c r="U16" i="14"/>
  <c r="U13" i="14"/>
  <c r="U28" i="9"/>
  <c r="U25" i="6"/>
  <c r="U21" i="4"/>
  <c r="U27" i="8"/>
  <c r="U18" i="4"/>
  <c r="U40" i="6"/>
  <c r="U27" i="6"/>
  <c r="U40" i="5"/>
  <c r="U36" i="4"/>
  <c r="U23" i="4"/>
  <c r="U33" i="8"/>
  <c r="U34" i="8"/>
  <c r="U20" i="8"/>
  <c r="U32" i="9"/>
  <c r="U33" i="9"/>
  <c r="U29" i="9"/>
  <c r="U20" i="9"/>
  <c r="U29" i="11"/>
  <c r="U17" i="11"/>
  <c r="U28" i="10"/>
  <c r="U16" i="10"/>
  <c r="U27" i="2"/>
  <c r="U28" i="2"/>
  <c r="U16" i="2"/>
  <c r="U27" i="13"/>
  <c r="U28" i="13"/>
  <c r="U16" i="13"/>
  <c r="U34" i="12"/>
  <c r="U26" i="12"/>
  <c r="U27" i="12"/>
  <c r="U23" i="12"/>
  <c r="U15" i="12"/>
  <c r="U16" i="12"/>
  <c r="U45" i="5"/>
  <c r="U29" i="5"/>
  <c r="U21" i="5"/>
  <c r="U25" i="4"/>
  <c r="U37" i="8"/>
  <c r="U38" i="8"/>
  <c r="U36" i="9"/>
  <c r="U37" i="9"/>
  <c r="U32" i="11"/>
  <c r="U33" i="11"/>
  <c r="U31" i="10"/>
  <c r="U32" i="10"/>
  <c r="U31" i="2"/>
  <c r="U32" i="2"/>
  <c r="U31" i="13"/>
  <c r="U32" i="13"/>
  <c r="U34" i="14"/>
  <c r="U30" i="9"/>
  <c r="U31" i="8"/>
  <c r="U34" i="4"/>
  <c r="U38" i="6"/>
  <c r="U36" i="8"/>
  <c r="U17" i="4"/>
  <c r="U29" i="4"/>
  <c r="U33" i="6"/>
  <c r="U19" i="6"/>
  <c r="U31" i="6"/>
  <c r="U23" i="6"/>
  <c r="U20" i="4"/>
  <c r="U45" i="8"/>
  <c r="U40" i="11"/>
  <c r="U39" i="10"/>
  <c r="U39" i="2"/>
  <c r="U38" i="13"/>
  <c r="U37" i="12"/>
  <c r="U38" i="12"/>
  <c r="U32" i="12"/>
  <c r="U39" i="13"/>
  <c r="U33" i="13"/>
  <c r="U36" i="2"/>
  <c r="U36" i="10"/>
  <c r="U40" i="10"/>
  <c r="U33" i="10"/>
  <c r="U37" i="11"/>
  <c r="P41" i="11"/>
  <c r="U34" i="11"/>
  <c r="Q41" i="11"/>
  <c r="U41" i="11" s="1"/>
  <c r="K8" i="11" s="1"/>
  <c r="U41" i="9"/>
  <c r="U38" i="9"/>
  <c r="U24" i="9"/>
  <c r="P45" i="9"/>
  <c r="F13" i="9" s="1"/>
  <c r="U8" i="9"/>
  <c r="Q45" i="9"/>
  <c r="U45" i="9" s="1"/>
  <c r="U42" i="8"/>
  <c r="U25" i="8"/>
  <c r="P46" i="8"/>
  <c r="E45" i="8" s="1"/>
  <c r="U8" i="8"/>
  <c r="Q46" i="8"/>
  <c r="U46" i="8" s="1"/>
  <c r="U43" i="4"/>
  <c r="R54" i="6"/>
  <c r="U50" i="6"/>
  <c r="U8" i="4"/>
  <c r="U10" i="4"/>
  <c r="U11" i="4"/>
  <c r="U13" i="4"/>
  <c r="U15" i="4"/>
  <c r="U19" i="4"/>
  <c r="U22" i="4"/>
  <c r="U24" i="4"/>
  <c r="U26" i="4"/>
  <c r="U28" i="4"/>
  <c r="U31" i="4"/>
  <c r="U33" i="4"/>
  <c r="U35" i="4"/>
  <c r="U37" i="4"/>
  <c r="U39" i="4"/>
  <c r="U42" i="4"/>
  <c r="U10" i="5"/>
  <c r="U12" i="5"/>
  <c r="U14" i="5"/>
  <c r="U16" i="5"/>
  <c r="U18" i="5"/>
  <c r="U20" i="5"/>
  <c r="U22" i="5"/>
  <c r="U24" i="5"/>
  <c r="U26" i="5"/>
  <c r="U28" i="5"/>
  <c r="U30" i="5"/>
  <c r="U34" i="5"/>
  <c r="U37" i="5"/>
  <c r="U39" i="5"/>
  <c r="U41" i="5"/>
  <c r="U44" i="5"/>
  <c r="U46" i="5"/>
  <c r="U49" i="5"/>
  <c r="U10" i="6"/>
  <c r="U12" i="6"/>
  <c r="U16" i="6"/>
  <c r="U18" i="6"/>
  <c r="U22" i="6"/>
  <c r="U26" i="6"/>
  <c r="U28" i="6"/>
  <c r="U30" i="6"/>
  <c r="U32" i="6"/>
  <c r="U35" i="6"/>
  <c r="U37" i="6"/>
  <c r="U39" i="6"/>
  <c r="U41" i="6"/>
  <c r="U43" i="6"/>
  <c r="U46" i="6"/>
  <c r="U49" i="6"/>
  <c r="U53" i="6"/>
  <c r="U48" i="6"/>
  <c r="P54" i="6"/>
  <c r="F44" i="6" s="1"/>
  <c r="S20" i="6"/>
  <c r="P20" i="6"/>
  <c r="U8" i="6"/>
  <c r="S14" i="6"/>
  <c r="Q24" i="6"/>
  <c r="Q54" i="6" s="1"/>
  <c r="P33" i="6"/>
  <c r="T36" i="6"/>
  <c r="S44" i="6"/>
  <c r="P48" i="6"/>
  <c r="U47" i="5"/>
  <c r="U8" i="5"/>
  <c r="U19" i="5"/>
  <c r="P53" i="5"/>
  <c r="F32" i="5" s="1"/>
  <c r="U42" i="5"/>
  <c r="U50" i="5"/>
  <c r="U32" i="5"/>
  <c r="U52" i="5"/>
  <c r="S13" i="5"/>
  <c r="Q23" i="5"/>
  <c r="P35" i="5"/>
  <c r="T35" i="5"/>
  <c r="S43" i="5"/>
  <c r="U43" i="5" s="1"/>
  <c r="P47" i="5"/>
  <c r="P50" i="5"/>
  <c r="P13" i="5"/>
  <c r="T49" i="4"/>
  <c r="P49" i="4"/>
  <c r="R50" i="4"/>
  <c r="N50" i="4"/>
  <c r="P50" i="4" s="1"/>
  <c r="S12" i="4"/>
  <c r="U12" i="4" s="1"/>
  <c r="P17" i="4"/>
  <c r="Q50" i="4"/>
  <c r="P29" i="4"/>
  <c r="T32" i="4"/>
  <c r="U32" i="4" s="1"/>
  <c r="S40" i="4"/>
  <c r="U40" i="4" s="1"/>
  <c r="U45" i="4"/>
  <c r="U46" i="4"/>
  <c r="U47" i="4"/>
  <c r="P47" i="4"/>
  <c r="P34" i="14"/>
  <c r="C33" i="14" s="1"/>
  <c r="P38" i="12"/>
  <c r="P39" i="13"/>
  <c r="F8" i="13" s="1"/>
  <c r="P40" i="10"/>
  <c r="D39" i="10" s="1"/>
  <c r="L40" i="2"/>
  <c r="Q40" i="2" s="1"/>
  <c r="O40" i="2"/>
  <c r="T40" i="2" s="1"/>
  <c r="N40" i="2"/>
  <c r="S40" i="2" s="1"/>
  <c r="C49" i="7" l="1"/>
  <c r="K12" i="10"/>
  <c r="G49" i="7"/>
  <c r="C37" i="12"/>
  <c r="K12" i="14"/>
  <c r="D49" i="7"/>
  <c r="K49" i="7"/>
  <c r="J49" i="7"/>
  <c r="E49" i="7"/>
  <c r="B49" i="7"/>
  <c r="F49" i="7"/>
  <c r="I49" i="7"/>
  <c r="H49" i="7"/>
  <c r="D10" i="8"/>
  <c r="D35" i="8"/>
  <c r="D24" i="13"/>
  <c r="F27" i="13"/>
  <c r="E15" i="13"/>
  <c r="E15" i="14"/>
  <c r="C9" i="14"/>
  <c r="E33" i="14"/>
  <c r="E8" i="14"/>
  <c r="D25" i="14"/>
  <c r="D32" i="9"/>
  <c r="F30" i="9"/>
  <c r="F9" i="11"/>
  <c r="C33" i="11"/>
  <c r="D21" i="11"/>
  <c r="F16" i="11"/>
  <c r="D12" i="11"/>
  <c r="C36" i="11"/>
  <c r="D23" i="10"/>
  <c r="F28" i="10"/>
  <c r="F16" i="10"/>
  <c r="F13" i="13"/>
  <c r="D22" i="12"/>
  <c r="F27" i="12"/>
  <c r="F21" i="14"/>
  <c r="B19" i="14"/>
  <c r="C13" i="14"/>
  <c r="C20" i="14"/>
  <c r="B26" i="14"/>
  <c r="F33" i="14"/>
  <c r="F27" i="14"/>
  <c r="D14" i="14"/>
  <c r="D21" i="14"/>
  <c r="C27" i="14"/>
  <c r="F32" i="14"/>
  <c r="B12" i="14"/>
  <c r="B15" i="14"/>
  <c r="B18" i="14"/>
  <c r="B24" i="14"/>
  <c r="D29" i="14"/>
  <c r="F25" i="14"/>
  <c r="D10" i="14"/>
  <c r="E12" i="14"/>
  <c r="E17" i="14"/>
  <c r="E18" i="14"/>
  <c r="B23" i="14"/>
  <c r="C29" i="14"/>
  <c r="D31" i="14"/>
  <c r="D16" i="14"/>
  <c r="C19" i="14"/>
  <c r="C22" i="14"/>
  <c r="B28" i="14"/>
  <c r="F9" i="14"/>
  <c r="F29" i="14"/>
  <c r="F24" i="14"/>
  <c r="F18" i="14"/>
  <c r="F12" i="14"/>
  <c r="D9" i="14"/>
  <c r="D11" i="14"/>
  <c r="D13" i="14"/>
  <c r="E16" i="14"/>
  <c r="D20" i="14"/>
  <c r="D22" i="14"/>
  <c r="C24" i="14"/>
  <c r="C26" i="14"/>
  <c r="C28" i="14"/>
  <c r="B30" i="14"/>
  <c r="B32" i="14"/>
  <c r="D33" i="14"/>
  <c r="B8" i="14"/>
  <c r="C10" i="14"/>
  <c r="C11" i="14"/>
  <c r="C14" i="14"/>
  <c r="F15" i="14"/>
  <c r="F34" i="14" s="1"/>
  <c r="D17" i="14"/>
  <c r="C21" i="14"/>
  <c r="C23" i="14"/>
  <c r="C25" i="14"/>
  <c r="B27" i="14"/>
  <c r="F28" i="14"/>
  <c r="E30" i="14"/>
  <c r="E31" i="14"/>
  <c r="F8" i="14"/>
  <c r="F30" i="14"/>
  <c r="F26" i="14"/>
  <c r="E24" i="14"/>
  <c r="F23" i="14"/>
  <c r="F19" i="14"/>
  <c r="F16" i="14"/>
  <c r="F11" i="14"/>
  <c r="F20" i="14"/>
  <c r="F13" i="14"/>
  <c r="C8" i="14"/>
  <c r="B9" i="14"/>
  <c r="B10" i="14"/>
  <c r="F10" i="14"/>
  <c r="B11" i="14"/>
  <c r="C12" i="14"/>
  <c r="B13" i="14"/>
  <c r="B14" i="14"/>
  <c r="B34" i="14" s="1"/>
  <c r="F14" i="14"/>
  <c r="C15" i="14"/>
  <c r="C16" i="14"/>
  <c r="C17" i="14"/>
  <c r="C18" i="14"/>
  <c r="D19" i="14"/>
  <c r="B20" i="14"/>
  <c r="B21" i="14"/>
  <c r="B22" i="14"/>
  <c r="F22" i="14"/>
  <c r="D23" i="14"/>
  <c r="B25" i="14"/>
  <c r="E26" i="14"/>
  <c r="E27" i="14"/>
  <c r="E28" i="14"/>
  <c r="E29" i="14"/>
  <c r="D30" i="14"/>
  <c r="B31" i="14"/>
  <c r="F31" i="14"/>
  <c r="D32" i="14"/>
  <c r="B33" i="14"/>
  <c r="D8" i="14"/>
  <c r="E9" i="14"/>
  <c r="E10" i="14"/>
  <c r="E11" i="14"/>
  <c r="D12" i="14"/>
  <c r="E13" i="14"/>
  <c r="E14" i="14"/>
  <c r="D15" i="14"/>
  <c r="B16" i="14"/>
  <c r="B17" i="14"/>
  <c r="F17" i="14"/>
  <c r="D18" i="14"/>
  <c r="E19" i="14"/>
  <c r="E20" i="14"/>
  <c r="E21" i="14"/>
  <c r="E22" i="14"/>
  <c r="E23" i="14"/>
  <c r="D24" i="14"/>
  <c r="E25" i="14"/>
  <c r="D26" i="14"/>
  <c r="D27" i="14"/>
  <c r="D28" i="14"/>
  <c r="B29" i="14"/>
  <c r="C30" i="14"/>
  <c r="C31" i="14"/>
  <c r="C32" i="14"/>
  <c r="E14" i="12"/>
  <c r="D13" i="13"/>
  <c r="B37" i="13"/>
  <c r="E27" i="13"/>
  <c r="E19" i="13"/>
  <c r="C31" i="13"/>
  <c r="C11" i="13"/>
  <c r="B34" i="13"/>
  <c r="F38" i="13"/>
  <c r="D15" i="13"/>
  <c r="D21" i="13"/>
  <c r="C28" i="13"/>
  <c r="B35" i="13"/>
  <c r="B8" i="13"/>
  <c r="F18" i="13"/>
  <c r="E23" i="13"/>
  <c r="E30" i="13"/>
  <c r="C37" i="13"/>
  <c r="D14" i="9"/>
  <c r="B22" i="9"/>
  <c r="E8" i="9"/>
  <c r="D19" i="9"/>
  <c r="F8" i="9"/>
  <c r="F45" i="9" s="1"/>
  <c r="E34" i="8"/>
  <c r="E20" i="8"/>
  <c r="E19" i="8"/>
  <c r="F23" i="8"/>
  <c r="B15" i="8"/>
  <c r="B28" i="8"/>
  <c r="D44" i="8"/>
  <c r="E33" i="8"/>
  <c r="F10" i="8"/>
  <c r="F40" i="8"/>
  <c r="F28" i="8"/>
  <c r="E8" i="8"/>
  <c r="D17" i="8"/>
  <c r="E24" i="8"/>
  <c r="D31" i="8"/>
  <c r="C38" i="8"/>
  <c r="E12" i="8"/>
  <c r="F25" i="8"/>
  <c r="B40" i="8"/>
  <c r="F38" i="8"/>
  <c r="F45" i="8"/>
  <c r="F36" i="8"/>
  <c r="F33" i="8"/>
  <c r="F21" i="8"/>
  <c r="F12" i="8"/>
  <c r="E9" i="8"/>
  <c r="D11" i="8"/>
  <c r="E13" i="8"/>
  <c r="F18" i="8"/>
  <c r="E22" i="8"/>
  <c r="E26" i="8"/>
  <c r="F29" i="8"/>
  <c r="B33" i="8"/>
  <c r="B36" i="8"/>
  <c r="D41" i="8"/>
  <c r="D9" i="8"/>
  <c r="D46" i="8" s="1"/>
  <c r="F22" i="8"/>
  <c r="E29" i="8"/>
  <c r="E36" i="8"/>
  <c r="C44" i="8"/>
  <c r="D16" i="9"/>
  <c r="B26" i="9"/>
  <c r="E39" i="9"/>
  <c r="E15" i="9"/>
  <c r="E27" i="9"/>
  <c r="C42" i="9"/>
  <c r="F35" i="9"/>
  <c r="D10" i="9"/>
  <c r="D45" i="9" s="1"/>
  <c r="D12" i="9"/>
  <c r="F15" i="9"/>
  <c r="B18" i="9"/>
  <c r="C23" i="9"/>
  <c r="B29" i="9"/>
  <c r="D35" i="9"/>
  <c r="F42" i="9"/>
  <c r="E18" i="9"/>
  <c r="B24" i="9"/>
  <c r="E31" i="9"/>
  <c r="D38" i="9"/>
  <c r="F23" i="9"/>
  <c r="F30" i="11"/>
  <c r="E8" i="11"/>
  <c r="D14" i="11"/>
  <c r="D26" i="11"/>
  <c r="F39" i="11"/>
  <c r="D17" i="11"/>
  <c r="D29" i="11"/>
  <c r="E39" i="10"/>
  <c r="C29" i="10"/>
  <c r="F30" i="13"/>
  <c r="F19" i="13"/>
  <c r="D9" i="13"/>
  <c r="D11" i="13"/>
  <c r="E17" i="13"/>
  <c r="B23" i="13"/>
  <c r="D26" i="13"/>
  <c r="C33" i="13"/>
  <c r="D38" i="13"/>
  <c r="C10" i="13"/>
  <c r="E14" i="13"/>
  <c r="B17" i="13"/>
  <c r="E21" i="13"/>
  <c r="E25" i="13"/>
  <c r="E29" i="13"/>
  <c r="D32" i="13"/>
  <c r="F32" i="13"/>
  <c r="F12" i="13"/>
  <c r="F34" i="13"/>
  <c r="E28" i="13"/>
  <c r="F22" i="13"/>
  <c r="F11" i="13"/>
  <c r="E8" i="13"/>
  <c r="D10" i="13"/>
  <c r="E12" i="13"/>
  <c r="D14" i="13"/>
  <c r="E16" i="13"/>
  <c r="E18" i="13"/>
  <c r="E20" i="13"/>
  <c r="B22" i="13"/>
  <c r="F23" i="13"/>
  <c r="D25" i="13"/>
  <c r="B27" i="13"/>
  <c r="D29" i="13"/>
  <c r="B30" i="13"/>
  <c r="C32" i="13"/>
  <c r="C34" i="13"/>
  <c r="D36" i="13"/>
  <c r="F37" i="13"/>
  <c r="C9" i="13"/>
  <c r="D12" i="13"/>
  <c r="E13" i="13"/>
  <c r="D16" i="13"/>
  <c r="B18" i="13"/>
  <c r="D19" i="13"/>
  <c r="D20" i="13"/>
  <c r="E22" i="13"/>
  <c r="E24" i="13"/>
  <c r="E26" i="13"/>
  <c r="D28" i="13"/>
  <c r="D31" i="13"/>
  <c r="D33" i="13"/>
  <c r="C35" i="13"/>
  <c r="C36" i="13"/>
  <c r="C38" i="13"/>
  <c r="F17" i="13"/>
  <c r="S53" i="5"/>
  <c r="F9" i="8"/>
  <c r="F30" i="8"/>
  <c r="F16" i="8"/>
  <c r="F41" i="8"/>
  <c r="F37" i="8"/>
  <c r="F35" i="8"/>
  <c r="F34" i="8"/>
  <c r="F31" i="8"/>
  <c r="F26" i="8"/>
  <c r="F19" i="8"/>
  <c r="F13" i="8"/>
  <c r="C8" i="8"/>
  <c r="C9" i="8"/>
  <c r="B10" i="8"/>
  <c r="B11" i="8"/>
  <c r="D12" i="8"/>
  <c r="D14" i="8"/>
  <c r="F15" i="8"/>
  <c r="D16" i="8"/>
  <c r="B18" i="8"/>
  <c r="B46" i="8" s="1"/>
  <c r="D19" i="8"/>
  <c r="E21" i="8"/>
  <c r="E23" i="8"/>
  <c r="E25" i="8"/>
  <c r="D27" i="8"/>
  <c r="B29" i="8"/>
  <c r="D30" i="8"/>
  <c r="D32" i="8"/>
  <c r="C34" i="8"/>
  <c r="C37" i="8"/>
  <c r="E39" i="8"/>
  <c r="B43" i="8"/>
  <c r="B8" i="8"/>
  <c r="E11" i="8"/>
  <c r="E14" i="8"/>
  <c r="E17" i="8"/>
  <c r="B21" i="8"/>
  <c r="D24" i="8"/>
  <c r="E27" i="8"/>
  <c r="E31" i="8"/>
  <c r="E35" i="8"/>
  <c r="D38" i="8"/>
  <c r="C42" i="8"/>
  <c r="B10" i="10"/>
  <c r="C18" i="10"/>
  <c r="C21" i="10"/>
  <c r="E35" i="10"/>
  <c r="D27" i="12"/>
  <c r="D13" i="12"/>
  <c r="E24" i="12"/>
  <c r="F9" i="9"/>
  <c r="F27" i="9"/>
  <c r="E9" i="9"/>
  <c r="D11" i="9"/>
  <c r="E13" i="9"/>
  <c r="B15" i="9"/>
  <c r="B45" i="9" s="1"/>
  <c r="D17" i="9"/>
  <c r="F18" i="9"/>
  <c r="C21" i="9"/>
  <c r="C24" i="9"/>
  <c r="D27" i="9"/>
  <c r="B31" i="9"/>
  <c r="E37" i="9"/>
  <c r="D41" i="9"/>
  <c r="B44" i="9"/>
  <c r="E10" i="9"/>
  <c r="E45" i="9" s="1"/>
  <c r="D13" i="9"/>
  <c r="E16" i="9"/>
  <c r="D20" i="9"/>
  <c r="D23" i="9"/>
  <c r="D25" i="9"/>
  <c r="E29" i="9"/>
  <c r="D33" i="9"/>
  <c r="D36" i="9"/>
  <c r="C40" i="9"/>
  <c r="C44" i="9"/>
  <c r="F36" i="9"/>
  <c r="F10" i="9"/>
  <c r="F44" i="9"/>
  <c r="E33" i="9"/>
  <c r="C8" i="9"/>
  <c r="C9" i="9"/>
  <c r="B10" i="9"/>
  <c r="B11" i="9"/>
  <c r="F11" i="9"/>
  <c r="B12" i="9"/>
  <c r="C13" i="9"/>
  <c r="B14" i="9"/>
  <c r="F14" i="9"/>
  <c r="D15" i="9"/>
  <c r="B16" i="9"/>
  <c r="B17" i="9"/>
  <c r="F17" i="9"/>
  <c r="D18" i="9"/>
  <c r="B19" i="9"/>
  <c r="C20" i="9"/>
  <c r="C22" i="9"/>
  <c r="C25" i="9"/>
  <c r="F26" i="9"/>
  <c r="D28" i="9"/>
  <c r="B30" i="9"/>
  <c r="F31" i="9"/>
  <c r="B34" i="9"/>
  <c r="E36" i="9"/>
  <c r="E38" i="9"/>
  <c r="D40" i="9"/>
  <c r="B42" i="9"/>
  <c r="D43" i="9"/>
  <c r="B8" i="9"/>
  <c r="D9" i="9"/>
  <c r="E11" i="9"/>
  <c r="E12" i="9"/>
  <c r="E14" i="9"/>
  <c r="E17" i="9"/>
  <c r="E19" i="9"/>
  <c r="B21" i="9"/>
  <c r="F22" i="9"/>
  <c r="F24" i="9"/>
  <c r="E26" i="9"/>
  <c r="E28" i="9"/>
  <c r="E30" i="9"/>
  <c r="E32" i="9"/>
  <c r="E34" i="9"/>
  <c r="E35" i="9"/>
  <c r="D37" i="9"/>
  <c r="B39" i="9"/>
  <c r="C41" i="9"/>
  <c r="C43" i="9"/>
  <c r="F37" i="9"/>
  <c r="F40" i="9"/>
  <c r="F33" i="9"/>
  <c r="F21" i="9"/>
  <c r="F12" i="9"/>
  <c r="F36" i="11"/>
  <c r="F26" i="11"/>
  <c r="D10" i="11"/>
  <c r="E17" i="11"/>
  <c r="B23" i="11"/>
  <c r="D30" i="11"/>
  <c r="B37" i="11"/>
  <c r="E9" i="11"/>
  <c r="E13" i="11"/>
  <c r="D20" i="11"/>
  <c r="E25" i="11"/>
  <c r="D32" i="11"/>
  <c r="C40" i="11"/>
  <c r="F32" i="11"/>
  <c r="F29" i="11"/>
  <c r="F21" i="11"/>
  <c r="F12" i="11"/>
  <c r="D9" i="11"/>
  <c r="E12" i="11"/>
  <c r="F15" i="11"/>
  <c r="E19" i="11"/>
  <c r="E21" i="11"/>
  <c r="F24" i="11"/>
  <c r="B28" i="11"/>
  <c r="B31" i="11"/>
  <c r="C35" i="11"/>
  <c r="D38" i="11"/>
  <c r="E15" i="11"/>
  <c r="B19" i="11"/>
  <c r="E23" i="11"/>
  <c r="E27" i="11"/>
  <c r="D34" i="11"/>
  <c r="C38" i="11"/>
  <c r="F20" i="11"/>
  <c r="F19" i="10"/>
  <c r="F12" i="10"/>
  <c r="C12" i="10"/>
  <c r="C20" i="10"/>
  <c r="F26" i="10"/>
  <c r="E33" i="10"/>
  <c r="C10" i="10"/>
  <c r="C14" i="10"/>
  <c r="C25" i="10"/>
  <c r="B32" i="10"/>
  <c r="B37" i="10"/>
  <c r="F9" i="10"/>
  <c r="F31" i="10"/>
  <c r="F20" i="10"/>
  <c r="C8" i="10"/>
  <c r="B14" i="10"/>
  <c r="C16" i="10"/>
  <c r="F21" i="10"/>
  <c r="B25" i="10"/>
  <c r="B29" i="10"/>
  <c r="E31" i="10"/>
  <c r="D35" i="10"/>
  <c r="B8" i="10"/>
  <c r="C11" i="10"/>
  <c r="C15" i="10"/>
  <c r="D18" i="10"/>
  <c r="C23" i="10"/>
  <c r="C27" i="10"/>
  <c r="C30" i="10"/>
  <c r="F33" i="10"/>
  <c r="C39" i="10"/>
  <c r="D38" i="10"/>
  <c r="F23" i="12"/>
  <c r="C18" i="12"/>
  <c r="C10" i="12"/>
  <c r="B32" i="12"/>
  <c r="F33" i="12"/>
  <c r="F8" i="12"/>
  <c r="F19" i="12"/>
  <c r="D9" i="12"/>
  <c r="D11" i="12"/>
  <c r="C20" i="12"/>
  <c r="F25" i="12"/>
  <c r="C32" i="12"/>
  <c r="D37" i="12"/>
  <c r="B17" i="12"/>
  <c r="E20" i="9"/>
  <c r="E21" i="9"/>
  <c r="E22" i="9"/>
  <c r="E23" i="9"/>
  <c r="E24" i="9"/>
  <c r="E25" i="9"/>
  <c r="D26" i="9"/>
  <c r="B27" i="9"/>
  <c r="B28" i="9"/>
  <c r="F28" i="9"/>
  <c r="D29" i="9"/>
  <c r="D30" i="9"/>
  <c r="D31" i="9"/>
  <c r="B32" i="9"/>
  <c r="C33" i="9"/>
  <c r="D34" i="9"/>
  <c r="B35" i="9"/>
  <c r="C36" i="9"/>
  <c r="C37" i="9"/>
  <c r="C38" i="9"/>
  <c r="C39" i="9"/>
  <c r="B40" i="9"/>
  <c r="B41" i="9"/>
  <c r="F41" i="9"/>
  <c r="D42" i="9"/>
  <c r="B43" i="9"/>
  <c r="F43" i="9"/>
  <c r="D44" i="9"/>
  <c r="D8" i="9"/>
  <c r="B9" i="9"/>
  <c r="C10" i="9"/>
  <c r="C11" i="9"/>
  <c r="C12" i="9"/>
  <c r="B13" i="9"/>
  <c r="C14" i="9"/>
  <c r="C15" i="9"/>
  <c r="C16" i="9"/>
  <c r="C17" i="9"/>
  <c r="C18" i="9"/>
  <c r="C19" i="9"/>
  <c r="B20" i="9"/>
  <c r="F20" i="9"/>
  <c r="D21" i="9"/>
  <c r="D22" i="9"/>
  <c r="B23" i="9"/>
  <c r="D24" i="9"/>
  <c r="B25" i="9"/>
  <c r="C26" i="9"/>
  <c r="C27" i="9"/>
  <c r="C28" i="9"/>
  <c r="C29" i="9"/>
  <c r="C30" i="9"/>
  <c r="C31" i="9"/>
  <c r="C32" i="9"/>
  <c r="B33" i="9"/>
  <c r="C34" i="9"/>
  <c r="C35" i="9"/>
  <c r="B36" i="9"/>
  <c r="B37" i="9"/>
  <c r="B38" i="9"/>
  <c r="F38" i="9"/>
  <c r="D39" i="9"/>
  <c r="E40" i="9"/>
  <c r="E41" i="9"/>
  <c r="E42" i="9"/>
  <c r="E43" i="9"/>
  <c r="E44" i="9"/>
  <c r="F29" i="9"/>
  <c r="F16" i="9"/>
  <c r="F39" i="9"/>
  <c r="F34" i="9"/>
  <c r="F32" i="9"/>
  <c r="F25" i="9"/>
  <c r="F19" i="9"/>
  <c r="F8" i="11"/>
  <c r="F40" i="11"/>
  <c r="F35" i="11"/>
  <c r="F31" i="11"/>
  <c r="E29" i="11"/>
  <c r="F28" i="11"/>
  <c r="F23" i="11"/>
  <c r="F18" i="11"/>
  <c r="F11" i="11"/>
  <c r="F41" i="11" s="1"/>
  <c r="C8" i="11"/>
  <c r="B9" i="11"/>
  <c r="B10" i="11"/>
  <c r="F10" i="11"/>
  <c r="D11" i="11"/>
  <c r="D13" i="11"/>
  <c r="B15" i="11"/>
  <c r="D16" i="11"/>
  <c r="E18" i="11"/>
  <c r="E20" i="11"/>
  <c r="D22" i="11"/>
  <c r="B24" i="11"/>
  <c r="D25" i="11"/>
  <c r="D27" i="11"/>
  <c r="C29" i="11"/>
  <c r="C32" i="11"/>
  <c r="C34" i="11"/>
  <c r="B36" i="11"/>
  <c r="F37" i="11"/>
  <c r="B39" i="11"/>
  <c r="D40" i="11"/>
  <c r="D8" i="11"/>
  <c r="E10" i="11"/>
  <c r="E11" i="11"/>
  <c r="E14" i="11"/>
  <c r="E16" i="11"/>
  <c r="B18" i="11"/>
  <c r="F19" i="11"/>
  <c r="E22" i="11"/>
  <c r="E24" i="11"/>
  <c r="E26" i="11"/>
  <c r="E28" i="11"/>
  <c r="E30" i="11"/>
  <c r="E31" i="11"/>
  <c r="D33" i="11"/>
  <c r="B35" i="11"/>
  <c r="C37" i="11"/>
  <c r="C39" i="11"/>
  <c r="F33" i="11"/>
  <c r="F32" i="10"/>
  <c r="F35" i="10"/>
  <c r="F29" i="10"/>
  <c r="F25" i="10"/>
  <c r="F15" i="10"/>
  <c r="B9" i="10"/>
  <c r="F10" i="10"/>
  <c r="B11" i="10"/>
  <c r="B13" i="10"/>
  <c r="F14" i="10"/>
  <c r="B15" i="10"/>
  <c r="C17" i="10"/>
  <c r="C19" i="10"/>
  <c r="B21" i="10"/>
  <c r="D22" i="10"/>
  <c r="B24" i="10"/>
  <c r="B26" i="10"/>
  <c r="D27" i="10"/>
  <c r="D30" i="10"/>
  <c r="E32" i="10"/>
  <c r="E34" i="10"/>
  <c r="E37" i="10"/>
  <c r="C9" i="10"/>
  <c r="B12" i="10"/>
  <c r="C13" i="10"/>
  <c r="B16" i="10"/>
  <c r="D17" i="10"/>
  <c r="B19" i="10"/>
  <c r="B20" i="10"/>
  <c r="C22" i="10"/>
  <c r="C24" i="10"/>
  <c r="C26" i="10"/>
  <c r="B28" i="10"/>
  <c r="B31" i="10"/>
  <c r="B33" i="10"/>
  <c r="D34" i="10"/>
  <c r="C37" i="10"/>
  <c r="D36" i="10"/>
  <c r="F37" i="10"/>
  <c r="B39" i="10"/>
  <c r="F9" i="12"/>
  <c r="F28" i="12"/>
  <c r="F15" i="12"/>
  <c r="F30" i="12"/>
  <c r="F21" i="12"/>
  <c r="F11" i="12"/>
  <c r="E8" i="12"/>
  <c r="D10" i="12"/>
  <c r="E12" i="12"/>
  <c r="D14" i="12"/>
  <c r="C16" i="12"/>
  <c r="B24" i="12"/>
  <c r="E27" i="12"/>
  <c r="C30" i="12"/>
  <c r="B34" i="12"/>
  <c r="B36" i="12"/>
  <c r="B8" i="12"/>
  <c r="B38" i="12" s="1"/>
  <c r="C11" i="12"/>
  <c r="E15" i="12"/>
  <c r="F18" i="12"/>
  <c r="E22" i="12"/>
  <c r="E26" i="12"/>
  <c r="B30" i="12"/>
  <c r="D33" i="12"/>
  <c r="E36" i="12"/>
  <c r="E32" i="14"/>
  <c r="F11" i="8"/>
  <c r="F46" i="8" s="1"/>
  <c r="B12" i="8"/>
  <c r="C13" i="8"/>
  <c r="B14" i="8"/>
  <c r="F14" i="8"/>
  <c r="D15" i="8"/>
  <c r="B16" i="8"/>
  <c r="B17" i="8"/>
  <c r="F17" i="8"/>
  <c r="D18" i="8"/>
  <c r="B19" i="8"/>
  <c r="C20" i="8"/>
  <c r="C21" i="8"/>
  <c r="C22" i="8"/>
  <c r="C23" i="8"/>
  <c r="C24" i="8"/>
  <c r="C25" i="8"/>
  <c r="C26" i="8"/>
  <c r="B27" i="8"/>
  <c r="F27" i="8"/>
  <c r="D28" i="8"/>
  <c r="D29" i="8"/>
  <c r="B30" i="8"/>
  <c r="B31" i="8"/>
  <c r="B32" i="8"/>
  <c r="F32" i="8"/>
  <c r="D33" i="8"/>
  <c r="B35" i="8"/>
  <c r="D36" i="8"/>
  <c r="E37" i="8"/>
  <c r="E38" i="8"/>
  <c r="E40" i="8"/>
  <c r="D42" i="8"/>
  <c r="F43" i="8"/>
  <c r="B45" i="8"/>
  <c r="F8" i="8"/>
  <c r="E10" i="8"/>
  <c r="D13" i="8"/>
  <c r="E15" i="8"/>
  <c r="E16" i="8"/>
  <c r="E18" i="8"/>
  <c r="D20" i="8"/>
  <c r="B22" i="8"/>
  <c r="D23" i="8"/>
  <c r="B25" i="8"/>
  <c r="D26" i="8"/>
  <c r="E28" i="8"/>
  <c r="E30" i="8"/>
  <c r="E32" i="8"/>
  <c r="D34" i="8"/>
  <c r="D37" i="8"/>
  <c r="D39" i="8"/>
  <c r="C41" i="8"/>
  <c r="C43" i="8"/>
  <c r="C45" i="8"/>
  <c r="C39" i="8"/>
  <c r="C40" i="8"/>
  <c r="B41" i="8"/>
  <c r="B42" i="8"/>
  <c r="F42" i="8"/>
  <c r="D43" i="8"/>
  <c r="B44" i="8"/>
  <c r="F44" i="8"/>
  <c r="D45" i="8"/>
  <c r="D8" i="8"/>
  <c r="B9" i="8"/>
  <c r="C10" i="8"/>
  <c r="C11" i="8"/>
  <c r="C12" i="8"/>
  <c r="B13" i="8"/>
  <c r="C14" i="8"/>
  <c r="C15" i="8"/>
  <c r="C16" i="8"/>
  <c r="C17" i="8"/>
  <c r="C18" i="8"/>
  <c r="C19" i="8"/>
  <c r="B20" i="8"/>
  <c r="F20" i="8"/>
  <c r="D21" i="8"/>
  <c r="D22" i="8"/>
  <c r="B23" i="8"/>
  <c r="B24" i="8"/>
  <c r="F24" i="8"/>
  <c r="D25" i="8"/>
  <c r="B26" i="8"/>
  <c r="C27" i="8"/>
  <c r="C28" i="8"/>
  <c r="C29" i="8"/>
  <c r="C30" i="8"/>
  <c r="C31" i="8"/>
  <c r="C32" i="8"/>
  <c r="C33" i="8"/>
  <c r="B34" i="8"/>
  <c r="C35" i="8"/>
  <c r="C36" i="8"/>
  <c r="B37" i="8"/>
  <c r="B38" i="8"/>
  <c r="B39" i="8"/>
  <c r="F39" i="8"/>
  <c r="D40" i="8"/>
  <c r="E41" i="8"/>
  <c r="E42" i="8"/>
  <c r="E43" i="8"/>
  <c r="E44" i="8"/>
  <c r="B11" i="11"/>
  <c r="C12" i="11"/>
  <c r="B13" i="11"/>
  <c r="B14" i="11"/>
  <c r="F14" i="11"/>
  <c r="D15" i="11"/>
  <c r="B16" i="11"/>
  <c r="C17" i="11"/>
  <c r="C18" i="11"/>
  <c r="C19" i="11"/>
  <c r="C20" i="11"/>
  <c r="C21" i="11"/>
  <c r="B22" i="11"/>
  <c r="F22" i="11"/>
  <c r="D23" i="11"/>
  <c r="D24" i="11"/>
  <c r="B25" i="11"/>
  <c r="B26" i="11"/>
  <c r="B27" i="11"/>
  <c r="F27" i="11"/>
  <c r="D28" i="11"/>
  <c r="B30" i="11"/>
  <c r="D31" i="11"/>
  <c r="E32" i="11"/>
  <c r="E33" i="11"/>
  <c r="E34" i="11"/>
  <c r="E35" i="11"/>
  <c r="D36" i="11"/>
  <c r="D37" i="11"/>
  <c r="B38" i="11"/>
  <c r="F38" i="11"/>
  <c r="D39" i="11"/>
  <c r="B40" i="11"/>
  <c r="B8" i="11"/>
  <c r="C9" i="11"/>
  <c r="C10" i="11"/>
  <c r="C11" i="11"/>
  <c r="B12" i="11"/>
  <c r="C13" i="11"/>
  <c r="C14" i="11"/>
  <c r="C15" i="11"/>
  <c r="C16" i="11"/>
  <c r="B17" i="11"/>
  <c r="F17" i="11"/>
  <c r="D18" i="11"/>
  <c r="D19" i="11"/>
  <c r="B20" i="11"/>
  <c r="B21" i="11"/>
  <c r="C22" i="11"/>
  <c r="C23" i="11"/>
  <c r="C24" i="11"/>
  <c r="C25" i="11"/>
  <c r="C26" i="11"/>
  <c r="C27" i="11"/>
  <c r="C28" i="11"/>
  <c r="B29" i="11"/>
  <c r="C30" i="11"/>
  <c r="C31" i="11"/>
  <c r="B32" i="11"/>
  <c r="B33" i="11"/>
  <c r="B34" i="11"/>
  <c r="F34" i="11"/>
  <c r="D35" i="11"/>
  <c r="E36" i="11"/>
  <c r="E37" i="11"/>
  <c r="E38" i="11"/>
  <c r="E39" i="11"/>
  <c r="E40" i="11"/>
  <c r="F25" i="11"/>
  <c r="E11" i="13"/>
  <c r="F9" i="13"/>
  <c r="F35" i="13"/>
  <c r="F31" i="13"/>
  <c r="F29" i="13"/>
  <c r="F28" i="13"/>
  <c r="F25" i="13"/>
  <c r="F20" i="13"/>
  <c r="C8" i="13"/>
  <c r="B9" i="13"/>
  <c r="B39" i="13" s="1"/>
  <c r="B10" i="13"/>
  <c r="F10" i="13"/>
  <c r="B11" i="13"/>
  <c r="C12" i="13"/>
  <c r="B13" i="13"/>
  <c r="B14" i="13"/>
  <c r="F14" i="13"/>
  <c r="B15" i="13"/>
  <c r="C16" i="13"/>
  <c r="C17" i="13"/>
  <c r="C18" i="13"/>
  <c r="C19" i="13"/>
  <c r="C20" i="13"/>
  <c r="B21" i="13"/>
  <c r="F21" i="13"/>
  <c r="D22" i="13"/>
  <c r="D23" i="13"/>
  <c r="B24" i="13"/>
  <c r="B25" i="13"/>
  <c r="B26" i="13"/>
  <c r="F26" i="13"/>
  <c r="D27" i="13"/>
  <c r="B29" i="13"/>
  <c r="D30" i="13"/>
  <c r="E31" i="13"/>
  <c r="E32" i="13"/>
  <c r="E33" i="13"/>
  <c r="E34" i="13"/>
  <c r="D35" i="13"/>
  <c r="B36" i="13"/>
  <c r="F36" i="13"/>
  <c r="D37" i="13"/>
  <c r="B38" i="13"/>
  <c r="D8" i="13"/>
  <c r="E9" i="13"/>
  <c r="E10" i="13"/>
  <c r="E39" i="13" s="1"/>
  <c r="B12" i="13"/>
  <c r="C13" i="13"/>
  <c r="C14" i="13"/>
  <c r="C15" i="13"/>
  <c r="B16" i="13"/>
  <c r="F16" i="13"/>
  <c r="D17" i="13"/>
  <c r="D18" i="13"/>
  <c r="B19" i="13"/>
  <c r="B20" i="13"/>
  <c r="C21" i="13"/>
  <c r="C22" i="13"/>
  <c r="C23" i="13"/>
  <c r="C24" i="13"/>
  <c r="C25" i="13"/>
  <c r="C26" i="13"/>
  <c r="C27" i="13"/>
  <c r="B28" i="13"/>
  <c r="C29" i="13"/>
  <c r="C30" i="13"/>
  <c r="B31" i="13"/>
  <c r="B32" i="13"/>
  <c r="B33" i="13"/>
  <c r="F33" i="13"/>
  <c r="D34" i="13"/>
  <c r="E35" i="13"/>
  <c r="E36" i="13"/>
  <c r="E37" i="13"/>
  <c r="E38" i="13"/>
  <c r="F24" i="13"/>
  <c r="F15" i="13"/>
  <c r="E11" i="12"/>
  <c r="F12" i="12"/>
  <c r="F34" i="12"/>
  <c r="F31" i="12"/>
  <c r="F26" i="12"/>
  <c r="F17" i="12"/>
  <c r="F13" i="12"/>
  <c r="F37" i="12"/>
  <c r="F29" i="12"/>
  <c r="F24" i="12"/>
  <c r="F20" i="12"/>
  <c r="C8" i="12"/>
  <c r="B9" i="12"/>
  <c r="B10" i="12"/>
  <c r="F10" i="12"/>
  <c r="F38" i="12" s="1"/>
  <c r="B11" i="12"/>
  <c r="C12" i="12"/>
  <c r="C38" i="12" s="1"/>
  <c r="B13" i="12"/>
  <c r="B14" i="12"/>
  <c r="F14" i="12"/>
  <c r="B15" i="12"/>
  <c r="C17" i="12"/>
  <c r="C19" i="12"/>
  <c r="D21" i="12"/>
  <c r="B23" i="12"/>
  <c r="B25" i="12"/>
  <c r="D26" i="12"/>
  <c r="D28" i="12"/>
  <c r="B29" i="12"/>
  <c r="C31" i="12"/>
  <c r="C33" i="12"/>
  <c r="D35" i="12"/>
  <c r="F36" i="12"/>
  <c r="C9" i="12"/>
  <c r="D12" i="12"/>
  <c r="E13" i="12"/>
  <c r="D16" i="12"/>
  <c r="B18" i="12"/>
  <c r="D19" i="12"/>
  <c r="D20" i="12"/>
  <c r="E21" i="12"/>
  <c r="E23" i="12"/>
  <c r="E25" i="12"/>
  <c r="C28" i="12"/>
  <c r="C29" i="12"/>
  <c r="B31" i="12"/>
  <c r="F32" i="12"/>
  <c r="E34" i="12"/>
  <c r="E35" i="12"/>
  <c r="E37" i="12"/>
  <c r="D15" i="12"/>
  <c r="D38" i="12" s="1"/>
  <c r="E16" i="12"/>
  <c r="E17" i="12"/>
  <c r="E18" i="12"/>
  <c r="E19" i="12"/>
  <c r="E20" i="12"/>
  <c r="B21" i="12"/>
  <c r="B22" i="12"/>
  <c r="F22" i="12"/>
  <c r="D23" i="12"/>
  <c r="D24" i="12"/>
  <c r="D25" i="12"/>
  <c r="B26" i="12"/>
  <c r="C27" i="12"/>
  <c r="B28" i="12"/>
  <c r="D29" i="12"/>
  <c r="E30" i="12"/>
  <c r="E31" i="12"/>
  <c r="E32" i="12"/>
  <c r="E33" i="12"/>
  <c r="D34" i="12"/>
  <c r="B35" i="12"/>
  <c r="F35" i="12"/>
  <c r="D36" i="12"/>
  <c r="B37" i="12"/>
  <c r="D8" i="12"/>
  <c r="E9" i="12"/>
  <c r="E10" i="12"/>
  <c r="B12" i="12"/>
  <c r="C13" i="12"/>
  <c r="C14" i="12"/>
  <c r="C15" i="12"/>
  <c r="B16" i="12"/>
  <c r="F16" i="12"/>
  <c r="D17" i="12"/>
  <c r="D18" i="12"/>
  <c r="B19" i="12"/>
  <c r="B20" i="12"/>
  <c r="C21" i="12"/>
  <c r="C22" i="12"/>
  <c r="C23" i="12"/>
  <c r="C24" i="12"/>
  <c r="C25" i="12"/>
  <c r="C26" i="12"/>
  <c r="B27" i="12"/>
  <c r="E28" i="12"/>
  <c r="E29" i="12"/>
  <c r="D30" i="12"/>
  <c r="D31" i="12"/>
  <c r="D32" i="12"/>
  <c r="B33" i="12"/>
  <c r="C34" i="12"/>
  <c r="C35" i="12"/>
  <c r="C36" i="12"/>
  <c r="U40" i="2"/>
  <c r="K9" i="2" s="1"/>
  <c r="F39" i="10"/>
  <c r="F8" i="10"/>
  <c r="F24" i="10"/>
  <c r="F13" i="10"/>
  <c r="F34" i="10"/>
  <c r="F30" i="10"/>
  <c r="E28" i="10"/>
  <c r="F27" i="10"/>
  <c r="F22" i="10"/>
  <c r="F17" i="10"/>
  <c r="F11" i="10"/>
  <c r="E8" i="10"/>
  <c r="D9" i="10"/>
  <c r="D10" i="10"/>
  <c r="D11" i="10"/>
  <c r="E12" i="10"/>
  <c r="D13" i="10"/>
  <c r="D14" i="10"/>
  <c r="D40" i="10" s="1"/>
  <c r="D15" i="10"/>
  <c r="E16" i="10"/>
  <c r="E17" i="10"/>
  <c r="E18" i="10"/>
  <c r="E19" i="10"/>
  <c r="E20" i="10"/>
  <c r="D21" i="10"/>
  <c r="B22" i="10"/>
  <c r="B23" i="10"/>
  <c r="F23" i="10"/>
  <c r="D24" i="10"/>
  <c r="D25" i="10"/>
  <c r="D26" i="10"/>
  <c r="B27" i="10"/>
  <c r="C28" i="10"/>
  <c r="D29" i="10"/>
  <c r="B30" i="10"/>
  <c r="C31" i="10"/>
  <c r="C32" i="10"/>
  <c r="C33" i="10"/>
  <c r="C34" i="10"/>
  <c r="B35" i="10"/>
  <c r="C36" i="10"/>
  <c r="C38" i="10"/>
  <c r="D8" i="10"/>
  <c r="E9" i="10"/>
  <c r="E10" i="10"/>
  <c r="E11" i="10"/>
  <c r="D12" i="10"/>
  <c r="E13" i="10"/>
  <c r="E14" i="10"/>
  <c r="E15" i="10"/>
  <c r="D16" i="10"/>
  <c r="B17" i="10"/>
  <c r="B18" i="10"/>
  <c r="F18" i="10"/>
  <c r="D19" i="10"/>
  <c r="D20" i="10"/>
  <c r="E21" i="10"/>
  <c r="E22" i="10"/>
  <c r="E23" i="10"/>
  <c r="E24" i="10"/>
  <c r="E25" i="10"/>
  <c r="E26" i="10"/>
  <c r="E27" i="10"/>
  <c r="D28" i="10"/>
  <c r="E29" i="10"/>
  <c r="E30" i="10"/>
  <c r="D31" i="10"/>
  <c r="D32" i="10"/>
  <c r="D33" i="10"/>
  <c r="B34" i="10"/>
  <c r="C35" i="10"/>
  <c r="E36" i="10"/>
  <c r="E38" i="10"/>
  <c r="B36" i="10"/>
  <c r="F36" i="10"/>
  <c r="D37" i="10"/>
  <c r="B38" i="10"/>
  <c r="F38" i="10"/>
  <c r="F13" i="11"/>
  <c r="F50" i="5"/>
  <c r="F35" i="5"/>
  <c r="F42" i="5"/>
  <c r="F52" i="5"/>
  <c r="F36" i="6"/>
  <c r="F48" i="6"/>
  <c r="F53" i="6"/>
  <c r="F20" i="6"/>
  <c r="F51" i="6"/>
  <c r="F33" i="6"/>
  <c r="F43" i="6"/>
  <c r="F24" i="6"/>
  <c r="F47" i="4"/>
  <c r="F13" i="5"/>
  <c r="F47" i="5"/>
  <c r="F43" i="5"/>
  <c r="U24" i="6"/>
  <c r="E53" i="6"/>
  <c r="C53" i="6"/>
  <c r="E52" i="6"/>
  <c r="C52" i="6"/>
  <c r="E51" i="6"/>
  <c r="C51" i="6"/>
  <c r="E50" i="6"/>
  <c r="C50" i="6"/>
  <c r="E49" i="6"/>
  <c r="C49" i="6"/>
  <c r="D48" i="6"/>
  <c r="B48" i="6"/>
  <c r="F47" i="6"/>
  <c r="D47" i="6"/>
  <c r="B47" i="6"/>
  <c r="F46" i="6"/>
  <c r="D46" i="6"/>
  <c r="B46" i="6"/>
  <c r="F45" i="6"/>
  <c r="D45" i="6"/>
  <c r="B45" i="6"/>
  <c r="D44" i="6"/>
  <c r="B44" i="6"/>
  <c r="E43" i="6"/>
  <c r="C43" i="6"/>
  <c r="E42" i="6"/>
  <c r="C42" i="6"/>
  <c r="E41" i="6"/>
  <c r="C41" i="6"/>
  <c r="E40" i="6"/>
  <c r="C40" i="6"/>
  <c r="E39" i="6"/>
  <c r="C39" i="6"/>
  <c r="E38" i="6"/>
  <c r="C38" i="6"/>
  <c r="E37" i="6"/>
  <c r="C37" i="6"/>
  <c r="E36" i="6"/>
  <c r="C36" i="6"/>
  <c r="E35" i="6"/>
  <c r="C35" i="6"/>
  <c r="E34" i="6"/>
  <c r="C34" i="6"/>
  <c r="D33" i="6"/>
  <c r="B33" i="6"/>
  <c r="F32" i="6"/>
  <c r="D32" i="6"/>
  <c r="B32" i="6"/>
  <c r="F31" i="6"/>
  <c r="D31" i="6"/>
  <c r="B31" i="6"/>
  <c r="F30" i="6"/>
  <c r="D30" i="6"/>
  <c r="B30" i="6"/>
  <c r="F29" i="6"/>
  <c r="D29" i="6"/>
  <c r="B29" i="6"/>
  <c r="F28" i="6"/>
  <c r="D28" i="6"/>
  <c r="B28" i="6"/>
  <c r="F27" i="6"/>
  <c r="D27" i="6"/>
  <c r="B27" i="6"/>
  <c r="F26" i="6"/>
  <c r="D26" i="6"/>
  <c r="B26" i="6"/>
  <c r="F25" i="6"/>
  <c r="D25" i="6"/>
  <c r="B25" i="6"/>
  <c r="E24" i="6"/>
  <c r="C24" i="6"/>
  <c r="E23" i="6"/>
  <c r="C23" i="6"/>
  <c r="E22" i="6"/>
  <c r="C22" i="6"/>
  <c r="E21" i="6"/>
  <c r="C21" i="6"/>
  <c r="D53" i="6"/>
  <c r="B53" i="6"/>
  <c r="F52" i="6"/>
  <c r="D52" i="6"/>
  <c r="B52" i="6"/>
  <c r="D51" i="6"/>
  <c r="B51" i="6"/>
  <c r="F50" i="6"/>
  <c r="D50" i="6"/>
  <c r="B50" i="6"/>
  <c r="F49" i="6"/>
  <c r="D49" i="6"/>
  <c r="B49" i="6"/>
  <c r="E48" i="6"/>
  <c r="C48" i="6"/>
  <c r="E47" i="6"/>
  <c r="C47" i="6"/>
  <c r="E46" i="6"/>
  <c r="C46" i="6"/>
  <c r="E45" i="6"/>
  <c r="C45" i="6"/>
  <c r="E44" i="6"/>
  <c r="C44" i="6"/>
  <c r="D43" i="6"/>
  <c r="B43" i="6"/>
  <c r="F42" i="6"/>
  <c r="D42" i="6"/>
  <c r="B42" i="6"/>
  <c r="F41" i="6"/>
  <c r="D41" i="6"/>
  <c r="B41" i="6"/>
  <c r="F40" i="6"/>
  <c r="D40" i="6"/>
  <c r="B40" i="6"/>
  <c r="F39" i="6"/>
  <c r="D39" i="6"/>
  <c r="B39" i="6"/>
  <c r="F38" i="6"/>
  <c r="D38" i="6"/>
  <c r="B38" i="6"/>
  <c r="F37" i="6"/>
  <c r="D37" i="6"/>
  <c r="B37" i="6"/>
  <c r="D36" i="6"/>
  <c r="B36" i="6"/>
  <c r="F35" i="6"/>
  <c r="D35" i="6"/>
  <c r="B35" i="6"/>
  <c r="F34" i="6"/>
  <c r="D34" i="6"/>
  <c r="B34" i="6"/>
  <c r="E33" i="6"/>
  <c r="C33" i="6"/>
  <c r="E32" i="6"/>
  <c r="C32" i="6"/>
  <c r="E31" i="6"/>
  <c r="C31" i="6"/>
  <c r="E30" i="6"/>
  <c r="C30" i="6"/>
  <c r="E29" i="6"/>
  <c r="C29" i="6"/>
  <c r="E28" i="6"/>
  <c r="C28" i="6"/>
  <c r="E27" i="6"/>
  <c r="C27" i="6"/>
  <c r="E26" i="6"/>
  <c r="C26" i="6"/>
  <c r="E25" i="6"/>
  <c r="C25" i="6"/>
  <c r="D24" i="6"/>
  <c r="B24" i="6"/>
  <c r="F23" i="6"/>
  <c r="D23" i="6"/>
  <c r="B23" i="6"/>
  <c r="F22" i="6"/>
  <c r="D22" i="6"/>
  <c r="B22" i="6"/>
  <c r="F21" i="6"/>
  <c r="D21" i="6"/>
  <c r="B21" i="6"/>
  <c r="E20" i="6"/>
  <c r="C20" i="6"/>
  <c r="E19" i="6"/>
  <c r="C19" i="6"/>
  <c r="E18" i="6"/>
  <c r="C18" i="6"/>
  <c r="E17" i="6"/>
  <c r="C17" i="6"/>
  <c r="E16" i="6"/>
  <c r="C16" i="6"/>
  <c r="E15" i="6"/>
  <c r="C15" i="6"/>
  <c r="D14" i="6"/>
  <c r="B14" i="6"/>
  <c r="F13" i="6"/>
  <c r="D13" i="6"/>
  <c r="B13" i="6"/>
  <c r="F12" i="6"/>
  <c r="D12" i="6"/>
  <c r="B12" i="6"/>
  <c r="F11" i="6"/>
  <c r="D11" i="6"/>
  <c r="B11" i="6"/>
  <c r="D20" i="6"/>
  <c r="D19" i="6"/>
  <c r="D18" i="6"/>
  <c r="D17" i="6"/>
  <c r="D16" i="6"/>
  <c r="D15" i="6"/>
  <c r="E14" i="6"/>
  <c r="C13" i="6"/>
  <c r="E12" i="6"/>
  <c r="C11" i="6"/>
  <c r="E10" i="6"/>
  <c r="C10" i="6"/>
  <c r="E9" i="6"/>
  <c r="C9" i="6"/>
  <c r="E8" i="6"/>
  <c r="C8" i="6"/>
  <c r="B20" i="6"/>
  <c r="F19" i="6"/>
  <c r="B19" i="6"/>
  <c r="F18" i="6"/>
  <c r="B18" i="6"/>
  <c r="F17" i="6"/>
  <c r="B17" i="6"/>
  <c r="F16" i="6"/>
  <c r="B16" i="6"/>
  <c r="F15" i="6"/>
  <c r="B15" i="6"/>
  <c r="C14" i="6"/>
  <c r="E13" i="6"/>
  <c r="C12" i="6"/>
  <c r="E11" i="6"/>
  <c r="F10" i="6"/>
  <c r="D10" i="6"/>
  <c r="B10" i="6"/>
  <c r="F9" i="6"/>
  <c r="D9" i="6"/>
  <c r="B9" i="6"/>
  <c r="F8" i="6"/>
  <c r="D8" i="6"/>
  <c r="B8" i="6"/>
  <c r="U14" i="6"/>
  <c r="S54" i="6"/>
  <c r="U44" i="6"/>
  <c r="F14" i="6"/>
  <c r="U36" i="6"/>
  <c r="U20" i="6"/>
  <c r="T54" i="6"/>
  <c r="U23" i="5"/>
  <c r="E52" i="5"/>
  <c r="C52" i="5"/>
  <c r="E51" i="5"/>
  <c r="C51" i="5"/>
  <c r="E50" i="5"/>
  <c r="C50" i="5"/>
  <c r="E49" i="5"/>
  <c r="C49" i="5"/>
  <c r="E48" i="5"/>
  <c r="C48" i="5"/>
  <c r="D47" i="5"/>
  <c r="B47" i="5"/>
  <c r="F46" i="5"/>
  <c r="D46" i="5"/>
  <c r="B46" i="5"/>
  <c r="F45" i="5"/>
  <c r="D45" i="5"/>
  <c r="B45" i="5"/>
  <c r="F44" i="5"/>
  <c r="D44" i="5"/>
  <c r="B44" i="5"/>
  <c r="D43" i="5"/>
  <c r="B43" i="5"/>
  <c r="E42" i="5"/>
  <c r="C42" i="5"/>
  <c r="E41" i="5"/>
  <c r="C41" i="5"/>
  <c r="E40" i="5"/>
  <c r="C40" i="5"/>
  <c r="E39" i="5"/>
  <c r="C39" i="5"/>
  <c r="E38" i="5"/>
  <c r="C38" i="5"/>
  <c r="E37" i="5"/>
  <c r="C37" i="5"/>
  <c r="E36" i="5"/>
  <c r="C36" i="5"/>
  <c r="E35" i="5"/>
  <c r="C35" i="5"/>
  <c r="E34" i="5"/>
  <c r="C34" i="5"/>
  <c r="E33" i="5"/>
  <c r="C33" i="5"/>
  <c r="D32" i="5"/>
  <c r="B32" i="5"/>
  <c r="F31" i="5"/>
  <c r="D31" i="5"/>
  <c r="B31" i="5"/>
  <c r="F30" i="5"/>
  <c r="D30" i="5"/>
  <c r="B30" i="5"/>
  <c r="F29" i="5"/>
  <c r="D29" i="5"/>
  <c r="B29" i="5"/>
  <c r="F28" i="5"/>
  <c r="D28" i="5"/>
  <c r="B28" i="5"/>
  <c r="F27" i="5"/>
  <c r="D27" i="5"/>
  <c r="B27" i="5"/>
  <c r="F26" i="5"/>
  <c r="D26" i="5"/>
  <c r="B26" i="5"/>
  <c r="F25" i="5"/>
  <c r="D25" i="5"/>
  <c r="B25" i="5"/>
  <c r="F24" i="5"/>
  <c r="D24" i="5"/>
  <c r="B24" i="5"/>
  <c r="E23" i="5"/>
  <c r="C23" i="5"/>
  <c r="E22" i="5"/>
  <c r="C22" i="5"/>
  <c r="E21" i="5"/>
  <c r="C21" i="5"/>
  <c r="E20" i="5"/>
  <c r="C20" i="5"/>
  <c r="F19" i="5"/>
  <c r="D19" i="5"/>
  <c r="B19" i="5"/>
  <c r="F18" i="5"/>
  <c r="D18" i="5"/>
  <c r="B18" i="5"/>
  <c r="F17" i="5"/>
  <c r="D17" i="5"/>
  <c r="B17" i="5"/>
  <c r="F16" i="5"/>
  <c r="D16" i="5"/>
  <c r="B16" i="5"/>
  <c r="F15" i="5"/>
  <c r="D15" i="5"/>
  <c r="B15" i="5"/>
  <c r="F14" i="5"/>
  <c r="D14" i="5"/>
  <c r="B14" i="5"/>
  <c r="E13" i="5"/>
  <c r="C13" i="5"/>
  <c r="E12" i="5"/>
  <c r="C12" i="5"/>
  <c r="E11" i="5"/>
  <c r="D52" i="5"/>
  <c r="B52" i="5"/>
  <c r="F51" i="5"/>
  <c r="D51" i="5"/>
  <c r="B51" i="5"/>
  <c r="D50" i="5"/>
  <c r="B50" i="5"/>
  <c r="F49" i="5"/>
  <c r="D49" i="5"/>
  <c r="B49" i="5"/>
  <c r="F48" i="5"/>
  <c r="D48" i="5"/>
  <c r="B48" i="5"/>
  <c r="E47" i="5"/>
  <c r="C47" i="5"/>
  <c r="E46" i="5"/>
  <c r="C46" i="5"/>
  <c r="E45" i="5"/>
  <c r="C45" i="5"/>
  <c r="E44" i="5"/>
  <c r="C44" i="5"/>
  <c r="E43" i="5"/>
  <c r="C43" i="5"/>
  <c r="D42" i="5"/>
  <c r="B42" i="5"/>
  <c r="F41" i="5"/>
  <c r="D41" i="5"/>
  <c r="B41" i="5"/>
  <c r="F40" i="5"/>
  <c r="D40" i="5"/>
  <c r="B40" i="5"/>
  <c r="F39" i="5"/>
  <c r="D39" i="5"/>
  <c r="B39" i="5"/>
  <c r="F38" i="5"/>
  <c r="D38" i="5"/>
  <c r="B38" i="5"/>
  <c r="F37" i="5"/>
  <c r="D37" i="5"/>
  <c r="B37" i="5"/>
  <c r="F36" i="5"/>
  <c r="D36" i="5"/>
  <c r="B36" i="5"/>
  <c r="D35" i="5"/>
  <c r="B35" i="5"/>
  <c r="F34" i="5"/>
  <c r="D34" i="5"/>
  <c r="B34" i="5"/>
  <c r="F33" i="5"/>
  <c r="D33" i="5"/>
  <c r="B33" i="5"/>
  <c r="E32" i="5"/>
  <c r="C32" i="5"/>
  <c r="E31" i="5"/>
  <c r="C31" i="5"/>
  <c r="E30" i="5"/>
  <c r="C30" i="5"/>
  <c r="E29" i="5"/>
  <c r="C29" i="5"/>
  <c r="E28" i="5"/>
  <c r="C28" i="5"/>
  <c r="E27" i="5"/>
  <c r="C27" i="5"/>
  <c r="E26" i="5"/>
  <c r="C26" i="5"/>
  <c r="E25" i="5"/>
  <c r="C25" i="5"/>
  <c r="E24" i="5"/>
  <c r="C24" i="5"/>
  <c r="F23" i="5"/>
  <c r="D23" i="5"/>
  <c r="B23" i="5"/>
  <c r="F22" i="5"/>
  <c r="D22" i="5"/>
  <c r="B22" i="5"/>
  <c r="F21" i="5"/>
  <c r="D21" i="5"/>
  <c r="B21" i="5"/>
  <c r="F20" i="5"/>
  <c r="D20" i="5"/>
  <c r="B20" i="5"/>
  <c r="E19" i="5"/>
  <c r="C19" i="5"/>
  <c r="E18" i="5"/>
  <c r="C18" i="5"/>
  <c r="E17" i="5"/>
  <c r="C17" i="5"/>
  <c r="E16" i="5"/>
  <c r="C16" i="5"/>
  <c r="E15" i="5"/>
  <c r="C15" i="5"/>
  <c r="E14" i="5"/>
  <c r="C14" i="5"/>
  <c r="D13" i="5"/>
  <c r="B13" i="5"/>
  <c r="F12" i="5"/>
  <c r="D12" i="5"/>
  <c r="B12" i="5"/>
  <c r="F11" i="5"/>
  <c r="D11" i="5"/>
  <c r="B11" i="5"/>
  <c r="F10" i="5"/>
  <c r="D10" i="5"/>
  <c r="B10" i="5"/>
  <c r="F9" i="5"/>
  <c r="D9" i="5"/>
  <c r="B9" i="5"/>
  <c r="F8" i="5"/>
  <c r="D8" i="5"/>
  <c r="B8" i="5"/>
  <c r="C11" i="5"/>
  <c r="E10" i="5"/>
  <c r="C10" i="5"/>
  <c r="E9" i="5"/>
  <c r="C9" i="5"/>
  <c r="E8" i="5"/>
  <c r="C8" i="5"/>
  <c r="T53" i="5"/>
  <c r="U13" i="5"/>
  <c r="Q53" i="5"/>
  <c r="U35" i="5"/>
  <c r="F44" i="4"/>
  <c r="F29" i="4"/>
  <c r="F17" i="4"/>
  <c r="T50" i="4"/>
  <c r="E49" i="4"/>
  <c r="U49" i="4"/>
  <c r="F46" i="4"/>
  <c r="F40" i="4"/>
  <c r="S50" i="4"/>
  <c r="F45" i="4"/>
  <c r="F39" i="4"/>
  <c r="C49" i="4"/>
  <c r="E48" i="4"/>
  <c r="C48" i="4"/>
  <c r="E47" i="4"/>
  <c r="C47" i="4"/>
  <c r="E46" i="4"/>
  <c r="C46" i="4"/>
  <c r="E45" i="4"/>
  <c r="C45" i="4"/>
  <c r="D44" i="4"/>
  <c r="B44" i="4"/>
  <c r="F43" i="4"/>
  <c r="D43" i="4"/>
  <c r="B43" i="4"/>
  <c r="B49" i="4"/>
  <c r="F48" i="4"/>
  <c r="B48" i="4"/>
  <c r="D47" i="4"/>
  <c r="D46" i="4"/>
  <c r="D45" i="4"/>
  <c r="E44" i="4"/>
  <c r="C43" i="4"/>
  <c r="F42" i="4"/>
  <c r="D42" i="4"/>
  <c r="B42" i="4"/>
  <c r="F41" i="4"/>
  <c r="D41" i="4"/>
  <c r="B41" i="4"/>
  <c r="D40" i="4"/>
  <c r="B40" i="4"/>
  <c r="E39" i="4"/>
  <c r="C39" i="4"/>
  <c r="E38" i="4"/>
  <c r="C38" i="4"/>
  <c r="E37" i="4"/>
  <c r="C37" i="4"/>
  <c r="E36" i="4"/>
  <c r="C36" i="4"/>
  <c r="E35" i="4"/>
  <c r="C35" i="4"/>
  <c r="E34" i="4"/>
  <c r="C34" i="4"/>
  <c r="E33" i="4"/>
  <c r="C33" i="4"/>
  <c r="E32" i="4"/>
  <c r="C32" i="4"/>
  <c r="E31" i="4"/>
  <c r="C31" i="4"/>
  <c r="E30" i="4"/>
  <c r="C30" i="4"/>
  <c r="D29" i="4"/>
  <c r="B29" i="4"/>
  <c r="F28" i="4"/>
  <c r="D28" i="4"/>
  <c r="B28" i="4"/>
  <c r="F27" i="4"/>
  <c r="D27" i="4"/>
  <c r="B27" i="4"/>
  <c r="F26" i="4"/>
  <c r="D26" i="4"/>
  <c r="B26" i="4"/>
  <c r="F25" i="4"/>
  <c r="D25" i="4"/>
  <c r="B25" i="4"/>
  <c r="F24" i="4"/>
  <c r="D24" i="4"/>
  <c r="B24" i="4"/>
  <c r="F23" i="4"/>
  <c r="D23" i="4"/>
  <c r="B23" i="4"/>
  <c r="F22" i="4"/>
  <c r="D22" i="4"/>
  <c r="B22" i="4"/>
  <c r="F21" i="4"/>
  <c r="D21" i="4"/>
  <c r="B21" i="4"/>
  <c r="E20" i="4"/>
  <c r="C20" i="4"/>
  <c r="E19" i="4"/>
  <c r="C19" i="4"/>
  <c r="E18" i="4"/>
  <c r="C18" i="4"/>
  <c r="D17" i="4"/>
  <c r="B17" i="4"/>
  <c r="F16" i="4"/>
  <c r="D16" i="4"/>
  <c r="B16" i="4"/>
  <c r="F15" i="4"/>
  <c r="D15" i="4"/>
  <c r="B15" i="4"/>
  <c r="F14" i="4"/>
  <c r="D14" i="4"/>
  <c r="B14" i="4"/>
  <c r="F13" i="4"/>
  <c r="D13" i="4"/>
  <c r="B13" i="4"/>
  <c r="E12" i="4"/>
  <c r="C12" i="4"/>
  <c r="E11" i="4"/>
  <c r="C11" i="4"/>
  <c r="E10" i="4"/>
  <c r="C10" i="4"/>
  <c r="E9" i="4"/>
  <c r="C9" i="4"/>
  <c r="E8" i="4"/>
  <c r="C8" i="4"/>
  <c r="D49" i="4"/>
  <c r="D48" i="4"/>
  <c r="B47" i="4"/>
  <c r="B46" i="4"/>
  <c r="B45" i="4"/>
  <c r="C44" i="4"/>
  <c r="E43" i="4"/>
  <c r="E42" i="4"/>
  <c r="C42" i="4"/>
  <c r="E41" i="4"/>
  <c r="C41" i="4"/>
  <c r="E40" i="4"/>
  <c r="C40" i="4"/>
  <c r="D39" i="4"/>
  <c r="B39" i="4"/>
  <c r="F38" i="4"/>
  <c r="D38" i="4"/>
  <c r="B38" i="4"/>
  <c r="F37" i="4"/>
  <c r="D37" i="4"/>
  <c r="B37" i="4"/>
  <c r="F36" i="4"/>
  <c r="D36" i="4"/>
  <c r="B36" i="4"/>
  <c r="F35" i="4"/>
  <c r="D35" i="4"/>
  <c r="B35" i="4"/>
  <c r="F34" i="4"/>
  <c r="D34" i="4"/>
  <c r="B34" i="4"/>
  <c r="F33" i="4"/>
  <c r="D33" i="4"/>
  <c r="B33" i="4"/>
  <c r="D32" i="4"/>
  <c r="B32" i="4"/>
  <c r="F31" i="4"/>
  <c r="D31" i="4"/>
  <c r="B31" i="4"/>
  <c r="F30" i="4"/>
  <c r="D30" i="4"/>
  <c r="B30" i="4"/>
  <c r="E29" i="4"/>
  <c r="C29" i="4"/>
  <c r="E28" i="4"/>
  <c r="C28" i="4"/>
  <c r="E27" i="4"/>
  <c r="C27" i="4"/>
  <c r="E26" i="4"/>
  <c r="C26" i="4"/>
  <c r="E25" i="4"/>
  <c r="C25" i="4"/>
  <c r="E24" i="4"/>
  <c r="C24" i="4"/>
  <c r="E23" i="4"/>
  <c r="C23" i="4"/>
  <c r="E22" i="4"/>
  <c r="C22" i="4"/>
  <c r="E21" i="4"/>
  <c r="C21" i="4"/>
  <c r="F20" i="4"/>
  <c r="D20" i="4"/>
  <c r="B20" i="4"/>
  <c r="F19" i="4"/>
  <c r="D19" i="4"/>
  <c r="B19" i="4"/>
  <c r="F18" i="4"/>
  <c r="D18" i="4"/>
  <c r="B18" i="4"/>
  <c r="E17" i="4"/>
  <c r="C17" i="4"/>
  <c r="E16" i="4"/>
  <c r="C16" i="4"/>
  <c r="E15" i="4"/>
  <c r="C15" i="4"/>
  <c r="E14" i="4"/>
  <c r="C14" i="4"/>
  <c r="E13" i="4"/>
  <c r="C13" i="4"/>
  <c r="D12" i="4"/>
  <c r="B12" i="4"/>
  <c r="F11" i="4"/>
  <c r="D11" i="4"/>
  <c r="B11" i="4"/>
  <c r="F10" i="4"/>
  <c r="D10" i="4"/>
  <c r="B10" i="4"/>
  <c r="F9" i="4"/>
  <c r="D9" i="4"/>
  <c r="B9" i="4"/>
  <c r="F8" i="4"/>
  <c r="D8" i="4"/>
  <c r="B8" i="4"/>
  <c r="F49" i="4"/>
  <c r="F12" i="4"/>
  <c r="F32" i="4"/>
  <c r="K9" i="8"/>
  <c r="K18" i="8"/>
  <c r="K26" i="8"/>
  <c r="K34" i="8"/>
  <c r="K40" i="8"/>
  <c r="K29" i="14"/>
  <c r="K24" i="14"/>
  <c r="K18" i="14"/>
  <c r="K33" i="14"/>
  <c r="I33" i="14"/>
  <c r="G33" i="14"/>
  <c r="K32" i="14"/>
  <c r="I32" i="14"/>
  <c r="G32" i="14"/>
  <c r="K31" i="14"/>
  <c r="I31" i="14"/>
  <c r="G31" i="14"/>
  <c r="K30" i="14"/>
  <c r="I30" i="14"/>
  <c r="G30" i="14"/>
  <c r="J29" i="14"/>
  <c r="H29" i="14"/>
  <c r="J28" i="14"/>
  <c r="H28" i="14"/>
  <c r="J27" i="14"/>
  <c r="H27" i="14"/>
  <c r="J26" i="14"/>
  <c r="H26" i="14"/>
  <c r="K25" i="14"/>
  <c r="I25" i="14"/>
  <c r="G25" i="14"/>
  <c r="J24" i="14"/>
  <c r="H24" i="14"/>
  <c r="K23" i="14"/>
  <c r="I23" i="14"/>
  <c r="G23" i="14"/>
  <c r="K22" i="14"/>
  <c r="I22" i="14"/>
  <c r="G22" i="14"/>
  <c r="K21" i="14"/>
  <c r="I21" i="14"/>
  <c r="G21" i="14"/>
  <c r="K20" i="14"/>
  <c r="I20" i="14"/>
  <c r="G20" i="14"/>
  <c r="K19" i="14"/>
  <c r="I19" i="14"/>
  <c r="G19" i="14"/>
  <c r="J18" i="14"/>
  <c r="H18" i="14"/>
  <c r="J17" i="14"/>
  <c r="H17" i="14"/>
  <c r="J16" i="14"/>
  <c r="H16" i="14"/>
  <c r="J15" i="14"/>
  <c r="H15" i="14"/>
  <c r="K14" i="14"/>
  <c r="I14" i="14"/>
  <c r="G14" i="14"/>
  <c r="K13" i="14"/>
  <c r="I13" i="14"/>
  <c r="G13" i="14"/>
  <c r="J12" i="14"/>
  <c r="H12" i="14"/>
  <c r="K11" i="14"/>
  <c r="I11" i="14"/>
  <c r="G11" i="14"/>
  <c r="K10" i="14"/>
  <c r="I10" i="14"/>
  <c r="G10" i="14"/>
  <c r="K9" i="14"/>
  <c r="I9" i="14"/>
  <c r="G9" i="14"/>
  <c r="J8" i="14"/>
  <c r="H8" i="14"/>
  <c r="J33" i="14"/>
  <c r="H33" i="14"/>
  <c r="J32" i="14"/>
  <c r="H32" i="14"/>
  <c r="J31" i="14"/>
  <c r="H31" i="14"/>
  <c r="J30" i="14"/>
  <c r="H30" i="14"/>
  <c r="I29" i="14"/>
  <c r="G29" i="14"/>
  <c r="K28" i="14"/>
  <c r="I28" i="14"/>
  <c r="G28" i="14"/>
  <c r="K27" i="14"/>
  <c r="I27" i="14"/>
  <c r="G27" i="14"/>
  <c r="K26" i="14"/>
  <c r="I26" i="14"/>
  <c r="G26" i="14"/>
  <c r="J25" i="14"/>
  <c r="H25" i="14"/>
  <c r="I24" i="14"/>
  <c r="G24" i="14"/>
  <c r="J23" i="14"/>
  <c r="H23" i="14"/>
  <c r="J22" i="14"/>
  <c r="H22" i="14"/>
  <c r="J21" i="14"/>
  <c r="H21" i="14"/>
  <c r="J20" i="14"/>
  <c r="H20" i="14"/>
  <c r="J19" i="14"/>
  <c r="H19" i="14"/>
  <c r="I18" i="14"/>
  <c r="G18" i="14"/>
  <c r="K17" i="14"/>
  <c r="I17" i="14"/>
  <c r="G17" i="14"/>
  <c r="K16" i="14"/>
  <c r="I16" i="14"/>
  <c r="G16" i="14"/>
  <c r="K15" i="14"/>
  <c r="I15" i="14"/>
  <c r="G15" i="14"/>
  <c r="J14" i="14"/>
  <c r="H14" i="14"/>
  <c r="J13" i="14"/>
  <c r="H13" i="14"/>
  <c r="I12" i="14"/>
  <c r="G12" i="14"/>
  <c r="J11" i="14"/>
  <c r="H11" i="14"/>
  <c r="J10" i="14"/>
  <c r="H10" i="14"/>
  <c r="J9" i="14"/>
  <c r="H9" i="14"/>
  <c r="I8" i="14"/>
  <c r="G8" i="14"/>
  <c r="K8" i="14"/>
  <c r="K38" i="13"/>
  <c r="I38" i="13"/>
  <c r="G38" i="13"/>
  <c r="K37" i="13"/>
  <c r="I37" i="13"/>
  <c r="G37" i="13"/>
  <c r="K36" i="13"/>
  <c r="I36" i="13"/>
  <c r="G36" i="13"/>
  <c r="K35" i="13"/>
  <c r="I35" i="13"/>
  <c r="G35" i="13"/>
  <c r="J34" i="13"/>
  <c r="H34" i="13"/>
  <c r="J33" i="13"/>
  <c r="H33" i="13"/>
  <c r="J32" i="13"/>
  <c r="H32" i="13"/>
  <c r="J31" i="13"/>
  <c r="H31" i="13"/>
  <c r="K30" i="13"/>
  <c r="I30" i="13"/>
  <c r="G30" i="13"/>
  <c r="K29" i="13"/>
  <c r="I29" i="13"/>
  <c r="G29" i="13"/>
  <c r="J28" i="13"/>
  <c r="H28" i="13"/>
  <c r="K27" i="13"/>
  <c r="I27" i="13"/>
  <c r="G27" i="13"/>
  <c r="K26" i="13"/>
  <c r="I26" i="13"/>
  <c r="G26" i="13"/>
  <c r="K25" i="13"/>
  <c r="I25" i="13"/>
  <c r="G25" i="13"/>
  <c r="K24" i="13"/>
  <c r="I24" i="13"/>
  <c r="G24" i="13"/>
  <c r="K23" i="13"/>
  <c r="I23" i="13"/>
  <c r="G23" i="13"/>
  <c r="K22" i="13"/>
  <c r="I22" i="13"/>
  <c r="G22" i="13"/>
  <c r="K21" i="13"/>
  <c r="I21" i="13"/>
  <c r="G21" i="13"/>
  <c r="J20" i="13"/>
  <c r="H20" i="13"/>
  <c r="J19" i="13"/>
  <c r="H19" i="13"/>
  <c r="J18" i="13"/>
  <c r="H18" i="13"/>
  <c r="J17" i="13"/>
  <c r="H17" i="13"/>
  <c r="J16" i="13"/>
  <c r="H16" i="13"/>
  <c r="I15" i="13"/>
  <c r="G15" i="13"/>
  <c r="K14" i="13"/>
  <c r="I14" i="13"/>
  <c r="G14" i="13"/>
  <c r="K13" i="13"/>
  <c r="I13" i="13"/>
  <c r="G13" i="13"/>
  <c r="J12" i="13"/>
  <c r="H12" i="13"/>
  <c r="I11" i="13"/>
  <c r="G11" i="13"/>
  <c r="K10" i="13"/>
  <c r="I10" i="13"/>
  <c r="G10" i="13"/>
  <c r="K9" i="13"/>
  <c r="I9" i="13"/>
  <c r="G9" i="13"/>
  <c r="J8" i="13"/>
  <c r="H8" i="13"/>
  <c r="J38" i="13"/>
  <c r="H38" i="13"/>
  <c r="J37" i="13"/>
  <c r="H37" i="13"/>
  <c r="J36" i="13"/>
  <c r="H36" i="13"/>
  <c r="J35" i="13"/>
  <c r="H35" i="13"/>
  <c r="I34" i="13"/>
  <c r="G34" i="13"/>
  <c r="K33" i="13"/>
  <c r="I33" i="13"/>
  <c r="G33" i="13"/>
  <c r="K32" i="13"/>
  <c r="I32" i="13"/>
  <c r="G32" i="13"/>
  <c r="K31" i="13"/>
  <c r="I31" i="13"/>
  <c r="G31" i="13"/>
  <c r="J30" i="13"/>
  <c r="H30" i="13"/>
  <c r="J29" i="13"/>
  <c r="H29" i="13"/>
  <c r="I28" i="13"/>
  <c r="G28" i="13"/>
  <c r="J27" i="13"/>
  <c r="H27" i="13"/>
  <c r="J26" i="13"/>
  <c r="H26" i="13"/>
  <c r="J25" i="13"/>
  <c r="H25" i="13"/>
  <c r="J24" i="13"/>
  <c r="H24" i="13"/>
  <c r="J23" i="13"/>
  <c r="H23" i="13"/>
  <c r="J22" i="13"/>
  <c r="H22" i="13"/>
  <c r="J21" i="13"/>
  <c r="H21" i="13"/>
  <c r="K20" i="13"/>
  <c r="I20" i="13"/>
  <c r="G20" i="13"/>
  <c r="K19" i="13"/>
  <c r="I19" i="13"/>
  <c r="G19" i="13"/>
  <c r="K18" i="13"/>
  <c r="I18" i="13"/>
  <c r="G18" i="13"/>
  <c r="K17" i="13"/>
  <c r="I17" i="13"/>
  <c r="G17" i="13"/>
  <c r="K16" i="13"/>
  <c r="I16" i="13"/>
  <c r="G16" i="13"/>
  <c r="J15" i="13"/>
  <c r="H15" i="13"/>
  <c r="J14" i="13"/>
  <c r="H14" i="13"/>
  <c r="J13" i="13"/>
  <c r="H13" i="13"/>
  <c r="K12" i="13"/>
  <c r="I12" i="13"/>
  <c r="G12" i="13"/>
  <c r="J11" i="13"/>
  <c r="H11" i="13"/>
  <c r="J10" i="13"/>
  <c r="H10" i="13"/>
  <c r="J9" i="13"/>
  <c r="H9" i="13"/>
  <c r="K8" i="13"/>
  <c r="I8" i="13"/>
  <c r="G8" i="13"/>
  <c r="K11" i="13"/>
  <c r="K28" i="13"/>
  <c r="K34" i="13"/>
  <c r="K15" i="13"/>
  <c r="I37" i="12"/>
  <c r="G37" i="12"/>
  <c r="K36" i="12"/>
  <c r="I36" i="12"/>
  <c r="G36" i="12"/>
  <c r="K35" i="12"/>
  <c r="I35" i="12"/>
  <c r="G35" i="12"/>
  <c r="K34" i="12"/>
  <c r="I34" i="12"/>
  <c r="G34" i="12"/>
  <c r="J33" i="12"/>
  <c r="H33" i="12"/>
  <c r="J32" i="12"/>
  <c r="H32" i="12"/>
  <c r="J31" i="12"/>
  <c r="H31" i="12"/>
  <c r="J30" i="12"/>
  <c r="H30" i="12"/>
  <c r="I29" i="12"/>
  <c r="G29" i="12"/>
  <c r="K28" i="12"/>
  <c r="I28" i="12"/>
  <c r="G28" i="12"/>
  <c r="J27" i="12"/>
  <c r="H27" i="12"/>
  <c r="I26" i="12"/>
  <c r="G26" i="12"/>
  <c r="K25" i="12"/>
  <c r="I25" i="12"/>
  <c r="G25" i="12"/>
  <c r="K24" i="12"/>
  <c r="I24" i="12"/>
  <c r="G24" i="12"/>
  <c r="K23" i="12"/>
  <c r="I23" i="12"/>
  <c r="G23" i="12"/>
  <c r="K22" i="12"/>
  <c r="I22" i="12"/>
  <c r="G22" i="12"/>
  <c r="K21" i="12"/>
  <c r="I21" i="12"/>
  <c r="G21" i="12"/>
  <c r="J20" i="12"/>
  <c r="H20" i="12"/>
  <c r="J19" i="12"/>
  <c r="H19" i="12"/>
  <c r="J18" i="12"/>
  <c r="H18" i="12"/>
  <c r="J17" i="12"/>
  <c r="H17" i="12"/>
  <c r="J16" i="12"/>
  <c r="H16" i="12"/>
  <c r="I15" i="12"/>
  <c r="G15" i="12"/>
  <c r="K14" i="12"/>
  <c r="I14" i="12"/>
  <c r="G14" i="12"/>
  <c r="K13" i="12"/>
  <c r="I13" i="12"/>
  <c r="G13" i="12"/>
  <c r="J12" i="12"/>
  <c r="H12" i="12"/>
  <c r="I11" i="12"/>
  <c r="G11" i="12"/>
  <c r="K10" i="12"/>
  <c r="I10" i="12"/>
  <c r="G10" i="12"/>
  <c r="K9" i="12"/>
  <c r="I9" i="12"/>
  <c r="G9" i="12"/>
  <c r="J8" i="12"/>
  <c r="H8" i="12"/>
  <c r="J37" i="12"/>
  <c r="H37" i="12"/>
  <c r="J36" i="12"/>
  <c r="H36" i="12"/>
  <c r="J35" i="12"/>
  <c r="H35" i="12"/>
  <c r="J34" i="12"/>
  <c r="H34" i="12"/>
  <c r="K33" i="12"/>
  <c r="I33" i="12"/>
  <c r="G33" i="12"/>
  <c r="K32" i="12"/>
  <c r="I32" i="12"/>
  <c r="G32" i="12"/>
  <c r="K31" i="12"/>
  <c r="I31" i="12"/>
  <c r="G31" i="12"/>
  <c r="K30" i="12"/>
  <c r="I30" i="12"/>
  <c r="G30" i="12"/>
  <c r="J29" i="12"/>
  <c r="H29" i="12"/>
  <c r="J28" i="12"/>
  <c r="H28" i="12"/>
  <c r="K27" i="12"/>
  <c r="I27" i="12"/>
  <c r="G27" i="12"/>
  <c r="J26" i="12"/>
  <c r="H26" i="12"/>
  <c r="J25" i="12"/>
  <c r="H25" i="12"/>
  <c r="J24" i="12"/>
  <c r="H24" i="12"/>
  <c r="J23" i="12"/>
  <c r="H23" i="12"/>
  <c r="J22" i="12"/>
  <c r="H22" i="12"/>
  <c r="J21" i="12"/>
  <c r="H21" i="12"/>
  <c r="K20" i="12"/>
  <c r="I20" i="12"/>
  <c r="G20" i="12"/>
  <c r="K19" i="12"/>
  <c r="I19" i="12"/>
  <c r="G19" i="12"/>
  <c r="K18" i="12"/>
  <c r="I18" i="12"/>
  <c r="G18" i="12"/>
  <c r="K17" i="12"/>
  <c r="I17" i="12"/>
  <c r="G17" i="12"/>
  <c r="K16" i="12"/>
  <c r="I16" i="12"/>
  <c r="G16" i="12"/>
  <c r="J15" i="12"/>
  <c r="H15" i="12"/>
  <c r="J14" i="12"/>
  <c r="H14" i="12"/>
  <c r="J13" i="12"/>
  <c r="H13" i="12"/>
  <c r="K12" i="12"/>
  <c r="I12" i="12"/>
  <c r="G12" i="12"/>
  <c r="J11" i="12"/>
  <c r="H11" i="12"/>
  <c r="J10" i="12"/>
  <c r="H10" i="12"/>
  <c r="J9" i="12"/>
  <c r="H9" i="12"/>
  <c r="K8" i="12"/>
  <c r="I8" i="12"/>
  <c r="G8" i="12"/>
  <c r="K15" i="12"/>
  <c r="K11" i="12"/>
  <c r="K29" i="12"/>
  <c r="K37" i="12"/>
  <c r="K26" i="12"/>
  <c r="K40" i="11"/>
  <c r="I40" i="11"/>
  <c r="G40" i="11"/>
  <c r="K39" i="11"/>
  <c r="I39" i="11"/>
  <c r="G39" i="11"/>
  <c r="K38" i="11"/>
  <c r="I38" i="11"/>
  <c r="G38" i="11"/>
  <c r="K37" i="11"/>
  <c r="I37" i="11"/>
  <c r="G37" i="11"/>
  <c r="K36" i="11"/>
  <c r="I36" i="11"/>
  <c r="G36" i="11"/>
  <c r="J35" i="11"/>
  <c r="H35" i="11"/>
  <c r="J34" i="11"/>
  <c r="H34" i="11"/>
  <c r="J33" i="11"/>
  <c r="H33" i="11"/>
  <c r="J32" i="11"/>
  <c r="H32" i="11"/>
  <c r="K31" i="11"/>
  <c r="I31" i="11"/>
  <c r="G31" i="11"/>
  <c r="K30" i="11"/>
  <c r="I30" i="11"/>
  <c r="G30" i="11"/>
  <c r="J29" i="11"/>
  <c r="H29" i="11"/>
  <c r="K28" i="11"/>
  <c r="I28" i="11"/>
  <c r="G28" i="11"/>
  <c r="K27" i="11"/>
  <c r="I27" i="11"/>
  <c r="G27" i="11"/>
  <c r="K26" i="11"/>
  <c r="I26" i="11"/>
  <c r="G26" i="11"/>
  <c r="K25" i="11"/>
  <c r="I25" i="11"/>
  <c r="G25" i="11"/>
  <c r="K24" i="11"/>
  <c r="I24" i="11"/>
  <c r="G24" i="11"/>
  <c r="K23" i="11"/>
  <c r="I23" i="11"/>
  <c r="G23" i="11"/>
  <c r="K22" i="11"/>
  <c r="I22" i="11"/>
  <c r="G22" i="11"/>
  <c r="J21" i="11"/>
  <c r="H21" i="11"/>
  <c r="J20" i="11"/>
  <c r="H20" i="11"/>
  <c r="J19" i="11"/>
  <c r="H19" i="11"/>
  <c r="J18" i="11"/>
  <c r="H18" i="11"/>
  <c r="J17" i="11"/>
  <c r="H17" i="11"/>
  <c r="K16" i="11"/>
  <c r="I16" i="11"/>
  <c r="G16" i="11"/>
  <c r="I15" i="11"/>
  <c r="G15" i="11"/>
  <c r="K14" i="11"/>
  <c r="I14" i="11"/>
  <c r="G14" i="11"/>
  <c r="K13" i="11"/>
  <c r="I13" i="11"/>
  <c r="G13" i="11"/>
  <c r="J12" i="11"/>
  <c r="H12" i="11"/>
  <c r="K11" i="11"/>
  <c r="I11" i="11"/>
  <c r="G11" i="11"/>
  <c r="K10" i="11"/>
  <c r="I10" i="11"/>
  <c r="G10" i="11"/>
  <c r="K9" i="11"/>
  <c r="I9" i="11"/>
  <c r="G9" i="11"/>
  <c r="J8" i="11"/>
  <c r="H8" i="11"/>
  <c r="J40" i="11"/>
  <c r="H40" i="11"/>
  <c r="J39" i="11"/>
  <c r="H39" i="11"/>
  <c r="J38" i="11"/>
  <c r="H38" i="11"/>
  <c r="J37" i="11"/>
  <c r="H37" i="11"/>
  <c r="J36" i="11"/>
  <c r="H36" i="11"/>
  <c r="I35" i="11"/>
  <c r="G35" i="11"/>
  <c r="K34" i="11"/>
  <c r="I34" i="11"/>
  <c r="G34" i="11"/>
  <c r="K33" i="11"/>
  <c r="I33" i="11"/>
  <c r="G33" i="11"/>
  <c r="K32" i="11"/>
  <c r="I32" i="11"/>
  <c r="G32" i="11"/>
  <c r="J31" i="11"/>
  <c r="H31" i="11"/>
  <c r="J30" i="11"/>
  <c r="H30" i="11"/>
  <c r="I29" i="11"/>
  <c r="G29" i="11"/>
  <c r="J28" i="11"/>
  <c r="H28" i="11"/>
  <c r="J27" i="11"/>
  <c r="H27" i="11"/>
  <c r="J26" i="11"/>
  <c r="H26" i="11"/>
  <c r="J25" i="11"/>
  <c r="H25" i="11"/>
  <c r="J24" i="11"/>
  <c r="H24" i="11"/>
  <c r="J23" i="11"/>
  <c r="H23" i="11"/>
  <c r="J22" i="11"/>
  <c r="H22" i="11"/>
  <c r="I21" i="11"/>
  <c r="G21" i="11"/>
  <c r="K20" i="11"/>
  <c r="I20" i="11"/>
  <c r="G20" i="11"/>
  <c r="K19" i="11"/>
  <c r="I19" i="11"/>
  <c r="G19" i="11"/>
  <c r="K18" i="11"/>
  <c r="I18" i="11"/>
  <c r="G18" i="11"/>
  <c r="K17" i="11"/>
  <c r="I17" i="11"/>
  <c r="G17" i="11"/>
  <c r="J16" i="11"/>
  <c r="H16" i="11"/>
  <c r="J15" i="11"/>
  <c r="H15" i="11"/>
  <c r="J14" i="11"/>
  <c r="H14" i="11"/>
  <c r="J13" i="11"/>
  <c r="H13" i="11"/>
  <c r="I12" i="11"/>
  <c r="G12" i="11"/>
  <c r="J11" i="11"/>
  <c r="H11" i="11"/>
  <c r="J10" i="11"/>
  <c r="H10" i="11"/>
  <c r="J9" i="11"/>
  <c r="H9" i="11"/>
  <c r="I8" i="11"/>
  <c r="G8" i="11"/>
  <c r="J39" i="10"/>
  <c r="H39" i="10"/>
  <c r="J38" i="10"/>
  <c r="H38" i="10"/>
  <c r="J37" i="10"/>
  <c r="H37" i="10"/>
  <c r="J36" i="10"/>
  <c r="H36" i="10"/>
  <c r="K39" i="10"/>
  <c r="G39" i="10"/>
  <c r="I38" i="10"/>
  <c r="K37" i="10"/>
  <c r="G37" i="10"/>
  <c r="I36" i="10"/>
  <c r="K35" i="10"/>
  <c r="I35" i="10"/>
  <c r="G35" i="10"/>
  <c r="J34" i="10"/>
  <c r="H34" i="10"/>
  <c r="J33" i="10"/>
  <c r="H33" i="10"/>
  <c r="J32" i="10"/>
  <c r="H32" i="10"/>
  <c r="J31" i="10"/>
  <c r="H31" i="10"/>
  <c r="K30" i="10"/>
  <c r="I30" i="10"/>
  <c r="G30" i="10"/>
  <c r="K29" i="10"/>
  <c r="I29" i="10"/>
  <c r="G29" i="10"/>
  <c r="J28" i="10"/>
  <c r="H28" i="10"/>
  <c r="K27" i="10"/>
  <c r="I27" i="10"/>
  <c r="G27" i="10"/>
  <c r="K26" i="10"/>
  <c r="I26" i="10"/>
  <c r="G26" i="10"/>
  <c r="K25" i="10"/>
  <c r="I25" i="10"/>
  <c r="G25" i="10"/>
  <c r="K24" i="10"/>
  <c r="I24" i="10"/>
  <c r="G24" i="10"/>
  <c r="K23" i="10"/>
  <c r="I23" i="10"/>
  <c r="G23" i="10"/>
  <c r="K22" i="10"/>
  <c r="I22" i="10"/>
  <c r="G22" i="10"/>
  <c r="K21" i="10"/>
  <c r="I21" i="10"/>
  <c r="G21" i="10"/>
  <c r="J20" i="10"/>
  <c r="H20" i="10"/>
  <c r="J19" i="10"/>
  <c r="H19" i="10"/>
  <c r="J18" i="10"/>
  <c r="H18" i="10"/>
  <c r="J17" i="10"/>
  <c r="H17" i="10"/>
  <c r="J16" i="10"/>
  <c r="H16" i="10"/>
  <c r="K15" i="10"/>
  <c r="I15" i="10"/>
  <c r="G15" i="10"/>
  <c r="K14" i="10"/>
  <c r="I14" i="10"/>
  <c r="G14" i="10"/>
  <c r="K13" i="10"/>
  <c r="I13" i="10"/>
  <c r="G13" i="10"/>
  <c r="J12" i="10"/>
  <c r="H12" i="10"/>
  <c r="K11" i="10"/>
  <c r="I11" i="10"/>
  <c r="G11" i="10"/>
  <c r="K10" i="10"/>
  <c r="I10" i="10"/>
  <c r="G10" i="10"/>
  <c r="K9" i="10"/>
  <c r="I9" i="10"/>
  <c r="G9" i="10"/>
  <c r="J8" i="10"/>
  <c r="H8" i="10"/>
  <c r="I39" i="10"/>
  <c r="K38" i="10"/>
  <c r="G38" i="10"/>
  <c r="I37" i="10"/>
  <c r="K36" i="10"/>
  <c r="G36" i="10"/>
  <c r="J35" i="10"/>
  <c r="H35" i="10"/>
  <c r="I34" i="10"/>
  <c r="G34" i="10"/>
  <c r="K33" i="10"/>
  <c r="I33" i="10"/>
  <c r="G33" i="10"/>
  <c r="K32" i="10"/>
  <c r="I32" i="10"/>
  <c r="G32" i="10"/>
  <c r="K31" i="10"/>
  <c r="I31" i="10"/>
  <c r="G31" i="10"/>
  <c r="J30" i="10"/>
  <c r="H30" i="10"/>
  <c r="J29" i="10"/>
  <c r="H29" i="10"/>
  <c r="I28" i="10"/>
  <c r="G28" i="10"/>
  <c r="J27" i="10"/>
  <c r="H27" i="10"/>
  <c r="J26" i="10"/>
  <c r="H26" i="10"/>
  <c r="J25" i="10"/>
  <c r="H25" i="10"/>
  <c r="J24" i="10"/>
  <c r="H24" i="10"/>
  <c r="J23" i="10"/>
  <c r="H23" i="10"/>
  <c r="J22" i="10"/>
  <c r="H22" i="10"/>
  <c r="J21" i="10"/>
  <c r="H21" i="10"/>
  <c r="I20" i="10"/>
  <c r="G20" i="10"/>
  <c r="K19" i="10"/>
  <c r="I19" i="10"/>
  <c r="G19" i="10"/>
  <c r="K18" i="10"/>
  <c r="I18" i="10"/>
  <c r="G18" i="10"/>
  <c r="K17" i="10"/>
  <c r="I17" i="10"/>
  <c r="G17" i="10"/>
  <c r="K16" i="10"/>
  <c r="I16" i="10"/>
  <c r="G16" i="10"/>
  <c r="J15" i="10"/>
  <c r="H15" i="10"/>
  <c r="J14" i="10"/>
  <c r="H14" i="10"/>
  <c r="J13" i="10"/>
  <c r="H13" i="10"/>
  <c r="I12" i="10"/>
  <c r="G12" i="10"/>
  <c r="J11" i="10"/>
  <c r="H11" i="10"/>
  <c r="J10" i="10"/>
  <c r="H10" i="10"/>
  <c r="J9" i="10"/>
  <c r="H9" i="10"/>
  <c r="I8" i="10"/>
  <c r="G8" i="10"/>
  <c r="K35" i="11"/>
  <c r="K29" i="11"/>
  <c r="K21" i="11"/>
  <c r="K15" i="11"/>
  <c r="K12" i="11"/>
  <c r="K34" i="10"/>
  <c r="K28" i="10"/>
  <c r="K20" i="10"/>
  <c r="K8" i="10"/>
  <c r="K44" i="9"/>
  <c r="I44" i="9"/>
  <c r="G44" i="9"/>
  <c r="K43" i="9"/>
  <c r="I43" i="9"/>
  <c r="G43" i="9"/>
  <c r="K42" i="9"/>
  <c r="I42" i="9"/>
  <c r="G42" i="9"/>
  <c r="K41" i="9"/>
  <c r="I41" i="9"/>
  <c r="G41" i="9"/>
  <c r="K40" i="9"/>
  <c r="I40" i="9"/>
  <c r="G40" i="9"/>
  <c r="J39" i="9"/>
  <c r="H39" i="9"/>
  <c r="J38" i="9"/>
  <c r="H38" i="9"/>
  <c r="J37" i="9"/>
  <c r="H37" i="9"/>
  <c r="J36" i="9"/>
  <c r="H36" i="9"/>
  <c r="K35" i="9"/>
  <c r="I35" i="9"/>
  <c r="G35" i="9"/>
  <c r="K34" i="9"/>
  <c r="I34" i="9"/>
  <c r="G34" i="9"/>
  <c r="J33" i="9"/>
  <c r="H33" i="9"/>
  <c r="K32" i="9"/>
  <c r="I32" i="9"/>
  <c r="G32" i="9"/>
  <c r="K31" i="9"/>
  <c r="I31" i="9"/>
  <c r="G31" i="9"/>
  <c r="K30" i="9"/>
  <c r="I30" i="9"/>
  <c r="G30" i="9"/>
  <c r="K29" i="9"/>
  <c r="I29" i="9"/>
  <c r="G29" i="9"/>
  <c r="K28" i="9"/>
  <c r="I28" i="9"/>
  <c r="G28" i="9"/>
  <c r="K27" i="9"/>
  <c r="I27" i="9"/>
  <c r="G27" i="9"/>
  <c r="K26" i="9"/>
  <c r="I26" i="9"/>
  <c r="G26" i="9"/>
  <c r="J25" i="9"/>
  <c r="H25" i="9"/>
  <c r="J24" i="9"/>
  <c r="H24" i="9"/>
  <c r="J23" i="9"/>
  <c r="H23" i="9"/>
  <c r="J22" i="9"/>
  <c r="H22" i="9"/>
  <c r="J21" i="9"/>
  <c r="H21" i="9"/>
  <c r="J20" i="9"/>
  <c r="H20" i="9"/>
  <c r="K19" i="9"/>
  <c r="I19" i="9"/>
  <c r="G19" i="9"/>
  <c r="I18" i="9"/>
  <c r="G18" i="9"/>
  <c r="K17" i="9"/>
  <c r="I17" i="9"/>
  <c r="G17" i="9"/>
  <c r="K16" i="9"/>
  <c r="I16" i="9"/>
  <c r="G16" i="9"/>
  <c r="K15" i="9"/>
  <c r="I15" i="9"/>
  <c r="G15" i="9"/>
  <c r="K14" i="9"/>
  <c r="I14" i="9"/>
  <c r="G14" i="9"/>
  <c r="J13" i="9"/>
  <c r="H13" i="9"/>
  <c r="K12" i="9"/>
  <c r="I12" i="9"/>
  <c r="G12" i="9"/>
  <c r="K11" i="9"/>
  <c r="I11" i="9"/>
  <c r="G11" i="9"/>
  <c r="K10" i="9"/>
  <c r="I10" i="9"/>
  <c r="G10" i="9"/>
  <c r="J9" i="9"/>
  <c r="H9" i="9"/>
  <c r="J8" i="9"/>
  <c r="H8" i="9"/>
  <c r="J44" i="9"/>
  <c r="H44" i="9"/>
  <c r="J43" i="9"/>
  <c r="H43" i="9"/>
  <c r="J42" i="9"/>
  <c r="H42" i="9"/>
  <c r="J41" i="9"/>
  <c r="H41" i="9"/>
  <c r="J40" i="9"/>
  <c r="H40" i="9"/>
  <c r="I39" i="9"/>
  <c r="G39" i="9"/>
  <c r="K38" i="9"/>
  <c r="I38" i="9"/>
  <c r="G38" i="9"/>
  <c r="K37" i="9"/>
  <c r="I37" i="9"/>
  <c r="G37" i="9"/>
  <c r="K36" i="9"/>
  <c r="I36" i="9"/>
  <c r="G36" i="9"/>
  <c r="J35" i="9"/>
  <c r="H35" i="9"/>
  <c r="J34" i="9"/>
  <c r="H34" i="9"/>
  <c r="I33" i="9"/>
  <c r="G33" i="9"/>
  <c r="J32" i="9"/>
  <c r="H32" i="9"/>
  <c r="J31" i="9"/>
  <c r="H31" i="9"/>
  <c r="J30" i="9"/>
  <c r="H30" i="9"/>
  <c r="J29" i="9"/>
  <c r="H29" i="9"/>
  <c r="J28" i="9"/>
  <c r="H28" i="9"/>
  <c r="J27" i="9"/>
  <c r="H27" i="9"/>
  <c r="J26" i="9"/>
  <c r="H26" i="9"/>
  <c r="I25" i="9"/>
  <c r="G25" i="9"/>
  <c r="K24" i="9"/>
  <c r="I24" i="9"/>
  <c r="G24" i="9"/>
  <c r="K23" i="9"/>
  <c r="I23" i="9"/>
  <c r="G23" i="9"/>
  <c r="K22" i="9"/>
  <c r="I22" i="9"/>
  <c r="G22" i="9"/>
  <c r="K21" i="9"/>
  <c r="I21" i="9"/>
  <c r="G21" i="9"/>
  <c r="K20" i="9"/>
  <c r="I20" i="9"/>
  <c r="G20" i="9"/>
  <c r="J19" i="9"/>
  <c r="H19" i="9"/>
  <c r="J18" i="9"/>
  <c r="H18" i="9"/>
  <c r="J17" i="9"/>
  <c r="H17" i="9"/>
  <c r="J16" i="9"/>
  <c r="H16" i="9"/>
  <c r="J15" i="9"/>
  <c r="H15" i="9"/>
  <c r="J14" i="9"/>
  <c r="H14" i="9"/>
  <c r="I13" i="9"/>
  <c r="G13" i="9"/>
  <c r="J12" i="9"/>
  <c r="H12" i="9"/>
  <c r="J11" i="9"/>
  <c r="H11" i="9"/>
  <c r="J10" i="9"/>
  <c r="H10" i="9"/>
  <c r="I9" i="9"/>
  <c r="G9" i="9"/>
  <c r="K8" i="9"/>
  <c r="I8" i="9"/>
  <c r="G8" i="9"/>
  <c r="K13" i="9"/>
  <c r="K18" i="9"/>
  <c r="K25" i="9"/>
  <c r="K33" i="9"/>
  <c r="K39" i="9"/>
  <c r="K9" i="9"/>
  <c r="K13" i="8"/>
  <c r="K45" i="8"/>
  <c r="I45" i="8"/>
  <c r="G45" i="8"/>
  <c r="K44" i="8"/>
  <c r="I44" i="8"/>
  <c r="G44" i="8"/>
  <c r="K43" i="8"/>
  <c r="I43" i="8"/>
  <c r="G43" i="8"/>
  <c r="K42" i="8"/>
  <c r="I42" i="8"/>
  <c r="G42" i="8"/>
  <c r="K41" i="8"/>
  <c r="I41" i="8"/>
  <c r="G41" i="8"/>
  <c r="J40" i="8"/>
  <c r="H40" i="8"/>
  <c r="J39" i="8"/>
  <c r="H39" i="8"/>
  <c r="J38" i="8"/>
  <c r="H38" i="8"/>
  <c r="J37" i="8"/>
  <c r="H37" i="8"/>
  <c r="K36" i="8"/>
  <c r="I36" i="8"/>
  <c r="G36" i="8"/>
  <c r="K35" i="8"/>
  <c r="I35" i="8"/>
  <c r="G35" i="8"/>
  <c r="J34" i="8"/>
  <c r="H34" i="8"/>
  <c r="K33" i="8"/>
  <c r="I33" i="8"/>
  <c r="G33" i="8"/>
  <c r="K32" i="8"/>
  <c r="I32" i="8"/>
  <c r="G32" i="8"/>
  <c r="K31" i="8"/>
  <c r="I31" i="8"/>
  <c r="G31" i="8"/>
  <c r="K30" i="8"/>
  <c r="I30" i="8"/>
  <c r="G30" i="8"/>
  <c r="K29" i="8"/>
  <c r="I29" i="8"/>
  <c r="G29" i="8"/>
  <c r="K28" i="8"/>
  <c r="I28" i="8"/>
  <c r="G28" i="8"/>
  <c r="K27" i="8"/>
  <c r="I27" i="8"/>
  <c r="G27" i="8"/>
  <c r="J26" i="8"/>
  <c r="H26" i="8"/>
  <c r="J25" i="8"/>
  <c r="H25" i="8"/>
  <c r="J24" i="8"/>
  <c r="H24" i="8"/>
  <c r="J23" i="8"/>
  <c r="H23" i="8"/>
  <c r="J22" i="8"/>
  <c r="H22" i="8"/>
  <c r="J21" i="8"/>
  <c r="H21" i="8"/>
  <c r="J20" i="8"/>
  <c r="H20" i="8"/>
  <c r="K19" i="8"/>
  <c r="I19" i="8"/>
  <c r="G19" i="8"/>
  <c r="I18" i="8"/>
  <c r="G18" i="8"/>
  <c r="K17" i="8"/>
  <c r="I17" i="8"/>
  <c r="G17" i="8"/>
  <c r="K16" i="8"/>
  <c r="I16" i="8"/>
  <c r="G16" i="8"/>
  <c r="K15" i="8"/>
  <c r="I15" i="8"/>
  <c r="G15" i="8"/>
  <c r="K14" i="8"/>
  <c r="I14" i="8"/>
  <c r="G14" i="8"/>
  <c r="J13" i="8"/>
  <c r="H13" i="8"/>
  <c r="K12" i="8"/>
  <c r="I12" i="8"/>
  <c r="G12" i="8"/>
  <c r="K11" i="8"/>
  <c r="I11" i="8"/>
  <c r="G11" i="8"/>
  <c r="K10" i="8"/>
  <c r="I10" i="8"/>
  <c r="G10" i="8"/>
  <c r="J9" i="8"/>
  <c r="H9" i="8"/>
  <c r="J8" i="8"/>
  <c r="H8" i="8"/>
  <c r="J45" i="8"/>
  <c r="H45" i="8"/>
  <c r="J44" i="8"/>
  <c r="H44" i="8"/>
  <c r="J43" i="8"/>
  <c r="H43" i="8"/>
  <c r="J42" i="8"/>
  <c r="H42" i="8"/>
  <c r="J41" i="8"/>
  <c r="H41" i="8"/>
  <c r="I40" i="8"/>
  <c r="G40" i="8"/>
  <c r="K39" i="8"/>
  <c r="I39" i="8"/>
  <c r="G39" i="8"/>
  <c r="K38" i="8"/>
  <c r="I38" i="8"/>
  <c r="G38" i="8"/>
  <c r="K37" i="8"/>
  <c r="I37" i="8"/>
  <c r="G37" i="8"/>
  <c r="J36" i="8"/>
  <c r="H36" i="8"/>
  <c r="J35" i="8"/>
  <c r="H35" i="8"/>
  <c r="I34" i="8"/>
  <c r="G34" i="8"/>
  <c r="J33" i="8"/>
  <c r="H33" i="8"/>
  <c r="J32" i="8"/>
  <c r="H32" i="8"/>
  <c r="J31" i="8"/>
  <c r="H31" i="8"/>
  <c r="J30" i="8"/>
  <c r="H30" i="8"/>
  <c r="J29" i="8"/>
  <c r="H29" i="8"/>
  <c r="J28" i="8"/>
  <c r="H28" i="8"/>
  <c r="J27" i="8"/>
  <c r="H27" i="8"/>
  <c r="I26" i="8"/>
  <c r="G26" i="8"/>
  <c r="K25" i="8"/>
  <c r="I25" i="8"/>
  <c r="G25" i="8"/>
  <c r="K24" i="8"/>
  <c r="I24" i="8"/>
  <c r="G24" i="8"/>
  <c r="K23" i="8"/>
  <c r="I23" i="8"/>
  <c r="G23" i="8"/>
  <c r="K22" i="8"/>
  <c r="I22" i="8"/>
  <c r="G22" i="8"/>
  <c r="K21" i="8"/>
  <c r="I21" i="8"/>
  <c r="G21" i="8"/>
  <c r="K20" i="8"/>
  <c r="I20" i="8"/>
  <c r="G20" i="8"/>
  <c r="J19" i="8"/>
  <c r="H19" i="8"/>
  <c r="J18" i="8"/>
  <c r="H18" i="8"/>
  <c r="J17" i="8"/>
  <c r="H17" i="8"/>
  <c r="J16" i="8"/>
  <c r="H16" i="8"/>
  <c r="J15" i="8"/>
  <c r="H15" i="8"/>
  <c r="J14" i="8"/>
  <c r="H14" i="8"/>
  <c r="I13" i="8"/>
  <c r="G13" i="8"/>
  <c r="J12" i="8"/>
  <c r="H12" i="8"/>
  <c r="J11" i="8"/>
  <c r="H11" i="8"/>
  <c r="J10" i="8"/>
  <c r="H10" i="8"/>
  <c r="I9" i="8"/>
  <c r="G9" i="8"/>
  <c r="K8" i="8"/>
  <c r="I8" i="8"/>
  <c r="G8" i="8"/>
  <c r="H8" i="2"/>
  <c r="J8" i="2"/>
  <c r="G9" i="2"/>
  <c r="I9" i="2"/>
  <c r="H10" i="2"/>
  <c r="J10" i="2"/>
  <c r="H11" i="2"/>
  <c r="J11" i="2"/>
  <c r="G12" i="2"/>
  <c r="I12" i="2"/>
  <c r="K12" i="2"/>
  <c r="G13" i="2"/>
  <c r="I13" i="2"/>
  <c r="K13" i="2"/>
  <c r="H14" i="2"/>
  <c r="J14" i="2"/>
  <c r="H15" i="2"/>
  <c r="J15" i="2"/>
  <c r="G16" i="2"/>
  <c r="I16" i="2"/>
  <c r="K16" i="2"/>
  <c r="H17" i="2"/>
  <c r="J17" i="2"/>
  <c r="G18" i="2"/>
  <c r="I18" i="2"/>
  <c r="K18" i="2"/>
  <c r="H19" i="2"/>
  <c r="J19" i="2"/>
  <c r="G20" i="2"/>
  <c r="I20" i="2"/>
  <c r="K20" i="2"/>
  <c r="H21" i="2"/>
  <c r="J21" i="2"/>
  <c r="G22" i="2"/>
  <c r="I22" i="2"/>
  <c r="K22" i="2"/>
  <c r="H23" i="2"/>
  <c r="J23" i="2"/>
  <c r="G24" i="2"/>
  <c r="I24" i="2"/>
  <c r="K24" i="2"/>
  <c r="H25" i="2"/>
  <c r="J25" i="2"/>
  <c r="G26" i="2"/>
  <c r="I26" i="2"/>
  <c r="K26" i="2"/>
  <c r="H27" i="2"/>
  <c r="J27" i="2"/>
  <c r="G28" i="2"/>
  <c r="I28" i="2"/>
  <c r="K28" i="2"/>
  <c r="H29" i="2"/>
  <c r="J29" i="2"/>
  <c r="H30" i="2"/>
  <c r="J30" i="2"/>
  <c r="G31" i="2"/>
  <c r="I31" i="2"/>
  <c r="K31" i="2"/>
  <c r="H32" i="2"/>
  <c r="J32" i="2"/>
  <c r="G33" i="2"/>
  <c r="I33" i="2"/>
  <c r="K33" i="2"/>
  <c r="H34" i="2"/>
  <c r="J34" i="2"/>
  <c r="G35" i="2"/>
  <c r="I35" i="2"/>
  <c r="K35" i="2"/>
  <c r="H36" i="2"/>
  <c r="J36" i="2"/>
  <c r="G37" i="2"/>
  <c r="I37" i="2"/>
  <c r="K37" i="2"/>
  <c r="H38" i="2"/>
  <c r="J38" i="2"/>
  <c r="G39" i="2"/>
  <c r="I39" i="2"/>
  <c r="K39" i="2"/>
  <c r="G8" i="2"/>
  <c r="I8" i="2"/>
  <c r="K8" i="2"/>
  <c r="H9" i="2"/>
  <c r="J9" i="2"/>
  <c r="G10" i="2"/>
  <c r="I10" i="2"/>
  <c r="K10" i="2"/>
  <c r="G11" i="2"/>
  <c r="I11" i="2"/>
  <c r="K11" i="2"/>
  <c r="H12" i="2"/>
  <c r="J12" i="2"/>
  <c r="H13" i="2"/>
  <c r="J13" i="2"/>
  <c r="G14" i="2"/>
  <c r="I14" i="2"/>
  <c r="K14" i="2"/>
  <c r="G15" i="2"/>
  <c r="I15" i="2"/>
  <c r="K15" i="2"/>
  <c r="H16" i="2"/>
  <c r="J16" i="2"/>
  <c r="G17" i="2"/>
  <c r="I17" i="2"/>
  <c r="K17" i="2"/>
  <c r="H18" i="2"/>
  <c r="J18" i="2"/>
  <c r="G19" i="2"/>
  <c r="I19" i="2"/>
  <c r="K19" i="2"/>
  <c r="H20" i="2"/>
  <c r="J20" i="2"/>
  <c r="G21" i="2"/>
  <c r="I21" i="2"/>
  <c r="K21" i="2"/>
  <c r="H22" i="2"/>
  <c r="J22" i="2"/>
  <c r="G23" i="2"/>
  <c r="I23" i="2"/>
  <c r="K23" i="2"/>
  <c r="H24" i="2"/>
  <c r="J24" i="2"/>
  <c r="G25" i="2"/>
  <c r="I25" i="2"/>
  <c r="K25" i="2"/>
  <c r="H26" i="2"/>
  <c r="J26" i="2"/>
  <c r="G27" i="2"/>
  <c r="I27" i="2"/>
  <c r="K27" i="2"/>
  <c r="H28" i="2"/>
  <c r="J28" i="2"/>
  <c r="G29" i="2"/>
  <c r="I29" i="2"/>
  <c r="K29" i="2"/>
  <c r="G30" i="2"/>
  <c r="I30" i="2"/>
  <c r="K30" i="2"/>
  <c r="H31" i="2"/>
  <c r="J31" i="2"/>
  <c r="G32" i="2"/>
  <c r="I32" i="2"/>
  <c r="K32" i="2"/>
  <c r="H33" i="2"/>
  <c r="J33" i="2"/>
  <c r="G34" i="2"/>
  <c r="I34" i="2"/>
  <c r="K34" i="2"/>
  <c r="H35" i="2"/>
  <c r="J35" i="2"/>
  <c r="G36" i="2"/>
  <c r="I36" i="2"/>
  <c r="K36" i="2"/>
  <c r="H37" i="2"/>
  <c r="J37" i="2"/>
  <c r="G38" i="2"/>
  <c r="I38" i="2"/>
  <c r="K38" i="2"/>
  <c r="H39" i="2"/>
  <c r="J39" i="2"/>
  <c r="P40" i="2"/>
  <c r="P56" i="6" s="1"/>
  <c r="D34" i="14" l="1"/>
  <c r="E46" i="8"/>
  <c r="D39" i="13"/>
  <c r="F39" i="13"/>
  <c r="C34" i="14"/>
  <c r="E34" i="14"/>
  <c r="C41" i="11"/>
  <c r="D41" i="11"/>
  <c r="C45" i="9"/>
  <c r="F40" i="10"/>
  <c r="G46" i="8"/>
  <c r="K46" i="8"/>
  <c r="B41" i="11"/>
  <c r="C39" i="13"/>
  <c r="C53" i="5"/>
  <c r="C46" i="8"/>
  <c r="E41" i="11"/>
  <c r="E40" i="10"/>
  <c r="C40" i="10"/>
  <c r="E38" i="12"/>
  <c r="I34" i="14"/>
  <c r="B40" i="10"/>
  <c r="D50" i="4"/>
  <c r="D53" i="5"/>
  <c r="B54" i="6"/>
  <c r="U54" i="6"/>
  <c r="K48" i="6" s="1"/>
  <c r="U50" i="4"/>
  <c r="I48" i="4" s="1"/>
  <c r="D54" i="6"/>
  <c r="E54" i="6"/>
  <c r="F54" i="6"/>
  <c r="C54" i="6"/>
  <c r="U53" i="5"/>
  <c r="K35" i="5" s="1"/>
  <c r="E53" i="5"/>
  <c r="B53" i="5"/>
  <c r="F53" i="5"/>
  <c r="B50" i="4"/>
  <c r="F50" i="4"/>
  <c r="C50" i="4"/>
  <c r="E50" i="4"/>
  <c r="G38" i="12"/>
  <c r="I39" i="13"/>
  <c r="I40" i="10"/>
  <c r="G41" i="11"/>
  <c r="I45" i="9"/>
  <c r="G34" i="14"/>
  <c r="K34" i="14"/>
  <c r="H34" i="14"/>
  <c r="J34" i="14"/>
  <c r="H39" i="13"/>
  <c r="G39" i="13"/>
  <c r="K39" i="13"/>
  <c r="J39" i="13"/>
  <c r="K38" i="12"/>
  <c r="J38" i="12"/>
  <c r="I38" i="12"/>
  <c r="H38" i="12"/>
  <c r="G40" i="10"/>
  <c r="K40" i="10"/>
  <c r="H40" i="10"/>
  <c r="I41" i="11"/>
  <c r="J41" i="11"/>
  <c r="J40" i="10"/>
  <c r="K41" i="11"/>
  <c r="H41" i="11"/>
  <c r="G45" i="9"/>
  <c r="K45" i="9"/>
  <c r="H45" i="9"/>
  <c r="J45" i="9"/>
  <c r="I46" i="8"/>
  <c r="J46" i="8"/>
  <c r="H46" i="8"/>
  <c r="D8" i="2"/>
  <c r="C9" i="2"/>
  <c r="E9" i="2"/>
  <c r="D10" i="2"/>
  <c r="D11" i="2"/>
  <c r="C12" i="2"/>
  <c r="E12" i="2"/>
  <c r="C13" i="2"/>
  <c r="E13" i="2"/>
  <c r="D14" i="2"/>
  <c r="D15" i="2"/>
  <c r="C16" i="2"/>
  <c r="E16" i="2"/>
  <c r="D17" i="2"/>
  <c r="C18" i="2"/>
  <c r="E18" i="2"/>
  <c r="D19" i="2"/>
  <c r="C20" i="2"/>
  <c r="E20" i="2"/>
  <c r="D21" i="2"/>
  <c r="C22" i="2"/>
  <c r="E22" i="2"/>
  <c r="D23" i="2"/>
  <c r="C24" i="2"/>
  <c r="E24" i="2"/>
  <c r="D25" i="2"/>
  <c r="C26" i="2"/>
  <c r="E26" i="2"/>
  <c r="D27" i="2"/>
  <c r="C28" i="2"/>
  <c r="E28" i="2"/>
  <c r="D29" i="2"/>
  <c r="D30" i="2"/>
  <c r="C31" i="2"/>
  <c r="E31" i="2"/>
  <c r="D32" i="2"/>
  <c r="C33" i="2"/>
  <c r="E33" i="2"/>
  <c r="D34" i="2"/>
  <c r="C35" i="2"/>
  <c r="E35" i="2"/>
  <c r="D36" i="2"/>
  <c r="C37" i="2"/>
  <c r="E37" i="2"/>
  <c r="D38" i="2"/>
  <c r="C39" i="2"/>
  <c r="E39" i="2"/>
  <c r="B10" i="2"/>
  <c r="B11" i="2"/>
  <c r="B14" i="2"/>
  <c r="B15" i="2"/>
  <c r="B17" i="2"/>
  <c r="B19" i="2"/>
  <c r="B21" i="2"/>
  <c r="B23" i="2"/>
  <c r="B25" i="2"/>
  <c r="B27" i="2"/>
  <c r="B29" i="2"/>
  <c r="B30" i="2"/>
  <c r="B32" i="2"/>
  <c r="B34" i="2"/>
  <c r="B36" i="2"/>
  <c r="B38" i="2"/>
  <c r="B8" i="2"/>
  <c r="F9" i="2"/>
  <c r="F13" i="2"/>
  <c r="F16" i="2"/>
  <c r="F18" i="2"/>
  <c r="F20" i="2"/>
  <c r="F22" i="2"/>
  <c r="F24" i="2"/>
  <c r="F26" i="2"/>
  <c r="F28" i="2"/>
  <c r="F31" i="2"/>
  <c r="F33" i="2"/>
  <c r="F35" i="2"/>
  <c r="F37" i="2"/>
  <c r="F39" i="2"/>
  <c r="C8" i="2"/>
  <c r="E8" i="2"/>
  <c r="D9" i="2"/>
  <c r="C10" i="2"/>
  <c r="E10" i="2"/>
  <c r="C11" i="2"/>
  <c r="E11" i="2"/>
  <c r="D12" i="2"/>
  <c r="D13" i="2"/>
  <c r="C14" i="2"/>
  <c r="E14" i="2"/>
  <c r="C15" i="2"/>
  <c r="E15" i="2"/>
  <c r="D16" i="2"/>
  <c r="C17" i="2"/>
  <c r="E17" i="2"/>
  <c r="D18" i="2"/>
  <c r="C19" i="2"/>
  <c r="E19" i="2"/>
  <c r="D20" i="2"/>
  <c r="C21" i="2"/>
  <c r="E21" i="2"/>
  <c r="D22" i="2"/>
  <c r="C23" i="2"/>
  <c r="E23" i="2"/>
  <c r="D24" i="2"/>
  <c r="C25" i="2"/>
  <c r="E25" i="2"/>
  <c r="D26" i="2"/>
  <c r="C27" i="2"/>
  <c r="E27" i="2"/>
  <c r="D28" i="2"/>
  <c r="C29" i="2"/>
  <c r="E29" i="2"/>
  <c r="C30" i="2"/>
  <c r="E30" i="2"/>
  <c r="D31" i="2"/>
  <c r="C32" i="2"/>
  <c r="E32" i="2"/>
  <c r="D33" i="2"/>
  <c r="C34" i="2"/>
  <c r="E34" i="2"/>
  <c r="D35" i="2"/>
  <c r="C36" i="2"/>
  <c r="E36" i="2"/>
  <c r="D37" i="2"/>
  <c r="C38" i="2"/>
  <c r="E38" i="2"/>
  <c r="D39" i="2"/>
  <c r="B9" i="2"/>
  <c r="B12" i="2"/>
  <c r="B13" i="2"/>
  <c r="B16" i="2"/>
  <c r="B18" i="2"/>
  <c r="B20" i="2"/>
  <c r="B22" i="2"/>
  <c r="B24" i="2"/>
  <c r="B26" i="2"/>
  <c r="B28" i="2"/>
  <c r="B31" i="2"/>
  <c r="B33" i="2"/>
  <c r="B35" i="2"/>
  <c r="B37" i="2"/>
  <c r="B39" i="2"/>
  <c r="F8" i="2"/>
  <c r="F10" i="2"/>
  <c r="F11" i="2"/>
  <c r="F14" i="2"/>
  <c r="F15" i="2"/>
  <c r="F17" i="2"/>
  <c r="F19" i="2"/>
  <c r="F21" i="2"/>
  <c r="F23" i="2"/>
  <c r="F25" i="2"/>
  <c r="F27" i="2"/>
  <c r="F29" i="2"/>
  <c r="F30" i="2"/>
  <c r="F32" i="2"/>
  <c r="F34" i="2"/>
  <c r="F36" i="2"/>
  <c r="F38" i="2"/>
  <c r="F12" i="2"/>
  <c r="G40" i="2"/>
  <c r="K40" i="2"/>
  <c r="I40" i="2"/>
  <c r="J40" i="2"/>
  <c r="H40" i="2"/>
  <c r="I46" i="4" l="1"/>
  <c r="I44" i="6"/>
  <c r="G21" i="4"/>
  <c r="I17" i="4"/>
  <c r="H17" i="4"/>
  <c r="K49" i="4"/>
  <c r="K12" i="4"/>
  <c r="K19" i="4"/>
  <c r="J38" i="4"/>
  <c r="I32" i="4"/>
  <c r="K41" i="4"/>
  <c r="K27" i="4"/>
  <c r="G13" i="4"/>
  <c r="H30" i="4"/>
  <c r="J24" i="4"/>
  <c r="J40" i="4"/>
  <c r="I40" i="4"/>
  <c r="K16" i="4"/>
  <c r="G29" i="4"/>
  <c r="J45" i="4"/>
  <c r="H10" i="4"/>
  <c r="G25" i="4"/>
  <c r="J34" i="4"/>
  <c r="H49" i="4"/>
  <c r="H14" i="4"/>
  <c r="J28" i="4"/>
  <c r="I36" i="4"/>
  <c r="H46" i="4"/>
  <c r="K45" i="4"/>
  <c r="K48" i="4"/>
  <c r="K25" i="4"/>
  <c r="K35" i="4"/>
  <c r="K9" i="4"/>
  <c r="K43" i="4"/>
  <c r="K17" i="4"/>
  <c r="K33" i="4"/>
  <c r="H8" i="4"/>
  <c r="H11" i="4"/>
  <c r="G15" i="4"/>
  <c r="H19" i="4"/>
  <c r="G23" i="4"/>
  <c r="G27" i="4"/>
  <c r="H32" i="4"/>
  <c r="J36" i="4"/>
  <c r="G42" i="4"/>
  <c r="I9" i="4"/>
  <c r="H16" i="4"/>
  <c r="G19" i="4"/>
  <c r="J22" i="4"/>
  <c r="J26" i="4"/>
  <c r="I30" i="4"/>
  <c r="I34" i="4"/>
  <c r="I38" i="4"/>
  <c r="J42" i="4"/>
  <c r="J43" i="4"/>
  <c r="F40" i="2"/>
  <c r="B40" i="2"/>
  <c r="K30" i="6"/>
  <c r="G15" i="6"/>
  <c r="K52" i="6"/>
  <c r="I21" i="6"/>
  <c r="K15" i="6"/>
  <c r="J9" i="6"/>
  <c r="H34" i="6"/>
  <c r="G38" i="6"/>
  <c r="K36" i="6"/>
  <c r="K40" i="6"/>
  <c r="J53" i="6"/>
  <c r="H24" i="6"/>
  <c r="G11" i="6"/>
  <c r="G25" i="6"/>
  <c r="J42" i="6"/>
  <c r="H30" i="6"/>
  <c r="H46" i="6"/>
  <c r="H43" i="6"/>
  <c r="K51" i="6"/>
  <c r="J24" i="6"/>
  <c r="K9" i="6"/>
  <c r="K35" i="6"/>
  <c r="K38" i="6"/>
  <c r="H14" i="6"/>
  <c r="J19" i="6"/>
  <c r="H20" i="6"/>
  <c r="G19" i="6"/>
  <c r="G29" i="6"/>
  <c r="J38" i="6"/>
  <c r="H49" i="6"/>
  <c r="H26" i="6"/>
  <c r="G34" i="6"/>
  <c r="G42" i="6"/>
  <c r="G50" i="6"/>
  <c r="K24" i="6"/>
  <c r="J51" i="6"/>
  <c r="K37" i="6"/>
  <c r="K22" i="6"/>
  <c r="K47" i="6"/>
  <c r="K31" i="6"/>
  <c r="K19" i="6"/>
  <c r="I13" i="6"/>
  <c r="G33" i="6"/>
  <c r="J43" i="6"/>
  <c r="K28" i="6"/>
  <c r="K45" i="6"/>
  <c r="K29" i="6"/>
  <c r="K18" i="6"/>
  <c r="K12" i="6"/>
  <c r="J15" i="6"/>
  <c r="G9" i="6"/>
  <c r="H16" i="6"/>
  <c r="H12" i="6"/>
  <c r="G17" i="6"/>
  <c r="H22" i="6"/>
  <c r="G27" i="6"/>
  <c r="G31" i="6"/>
  <c r="H36" i="6"/>
  <c r="J40" i="6"/>
  <c r="G46" i="6"/>
  <c r="H51" i="6"/>
  <c r="I23" i="6"/>
  <c r="H28" i="6"/>
  <c r="H32" i="6"/>
  <c r="G36" i="6"/>
  <c r="G40" i="6"/>
  <c r="H44" i="6"/>
  <c r="H48" i="6"/>
  <c r="G52" i="6"/>
  <c r="K47" i="4"/>
  <c r="K32" i="4"/>
  <c r="H44" i="4"/>
  <c r="K34" i="4"/>
  <c r="K11" i="4"/>
  <c r="K28" i="4"/>
  <c r="J12" i="4"/>
  <c r="J44" i="4"/>
  <c r="J46" i="4"/>
  <c r="K36" i="4"/>
  <c r="K10" i="4"/>
  <c r="H39" i="4"/>
  <c r="K26" i="4"/>
  <c r="K13" i="4"/>
  <c r="H9" i="4"/>
  <c r="G14" i="4"/>
  <c r="G16" i="4"/>
  <c r="H18" i="4"/>
  <c r="H20" i="4"/>
  <c r="G22" i="4"/>
  <c r="G24" i="4"/>
  <c r="G26" i="4"/>
  <c r="G28" i="4"/>
  <c r="H31" i="4"/>
  <c r="J33" i="4"/>
  <c r="J35" i="4"/>
  <c r="J37" i="4"/>
  <c r="G41" i="4"/>
  <c r="J47" i="4"/>
  <c r="I8" i="4"/>
  <c r="I10" i="4"/>
  <c r="I11" i="4"/>
  <c r="H13" i="4"/>
  <c r="H15" i="4"/>
  <c r="G18" i="4"/>
  <c r="G20" i="4"/>
  <c r="J21" i="4"/>
  <c r="J23" i="4"/>
  <c r="J25" i="4"/>
  <c r="J27" i="4"/>
  <c r="J29" i="4"/>
  <c r="I31" i="4"/>
  <c r="I33" i="4"/>
  <c r="I35" i="4"/>
  <c r="I37" i="4"/>
  <c r="I39" i="4"/>
  <c r="J41" i="4"/>
  <c r="I44" i="4"/>
  <c r="J48" i="4"/>
  <c r="I45" i="4"/>
  <c r="G48" i="4"/>
  <c r="J32" i="4"/>
  <c r="K40" i="4"/>
  <c r="I12" i="4"/>
  <c r="J49" i="4"/>
  <c r="K46" i="4"/>
  <c r="I49" i="4"/>
  <c r="I47" i="4"/>
  <c r="I43" i="4"/>
  <c r="K38" i="4"/>
  <c r="K29" i="4"/>
  <c r="K21" i="4"/>
  <c r="K18" i="4"/>
  <c r="H12" i="4"/>
  <c r="J39" i="4"/>
  <c r="K31" i="4"/>
  <c r="K24" i="4"/>
  <c r="K15" i="4"/>
  <c r="G49" i="4"/>
  <c r="G44" i="4"/>
  <c r="G17" i="4"/>
  <c r="K44" i="4"/>
  <c r="K39" i="4"/>
  <c r="K30" i="4"/>
  <c r="K23" i="4"/>
  <c r="K20" i="4"/>
  <c r="K14" i="4"/>
  <c r="K8" i="4"/>
  <c r="K42" i="4"/>
  <c r="K37" i="4"/>
  <c r="I29" i="4"/>
  <c r="K22" i="4"/>
  <c r="J8" i="4"/>
  <c r="J9" i="4"/>
  <c r="J10" i="4"/>
  <c r="J11" i="4"/>
  <c r="I13" i="4"/>
  <c r="I14" i="4"/>
  <c r="I15" i="4"/>
  <c r="I16" i="4"/>
  <c r="J18" i="4"/>
  <c r="J19" i="4"/>
  <c r="J20" i="4"/>
  <c r="I21" i="4"/>
  <c r="I22" i="4"/>
  <c r="I23" i="4"/>
  <c r="I24" i="4"/>
  <c r="I25" i="4"/>
  <c r="I26" i="4"/>
  <c r="I27" i="4"/>
  <c r="I28" i="4"/>
  <c r="J30" i="4"/>
  <c r="J31" i="4"/>
  <c r="H33" i="4"/>
  <c r="H34" i="4"/>
  <c r="H35" i="4"/>
  <c r="H36" i="4"/>
  <c r="H37" i="4"/>
  <c r="H38" i="4"/>
  <c r="G40" i="4"/>
  <c r="I41" i="4"/>
  <c r="I42" i="4"/>
  <c r="H48" i="4"/>
  <c r="G8" i="4"/>
  <c r="G9" i="4"/>
  <c r="G10" i="4"/>
  <c r="G11" i="4"/>
  <c r="G12" i="4"/>
  <c r="J13" i="4"/>
  <c r="J14" i="4"/>
  <c r="J15" i="4"/>
  <c r="J16" i="4"/>
  <c r="J17" i="4"/>
  <c r="I18" i="4"/>
  <c r="I19" i="4"/>
  <c r="I20" i="4"/>
  <c r="H21" i="4"/>
  <c r="H22" i="4"/>
  <c r="H23" i="4"/>
  <c r="H24" i="4"/>
  <c r="H25" i="4"/>
  <c r="H26" i="4"/>
  <c r="H27" i="4"/>
  <c r="H28" i="4"/>
  <c r="H29" i="4"/>
  <c r="G30" i="4"/>
  <c r="G31" i="4"/>
  <c r="G32" i="4"/>
  <c r="G33" i="4"/>
  <c r="G34" i="4"/>
  <c r="G35" i="4"/>
  <c r="G36" i="4"/>
  <c r="G37" i="4"/>
  <c r="G38" i="4"/>
  <c r="G39" i="4"/>
  <c r="H40" i="4"/>
  <c r="H41" i="4"/>
  <c r="H42" i="4"/>
  <c r="G43" i="4"/>
  <c r="H45" i="4"/>
  <c r="H47" i="4"/>
  <c r="H43" i="4"/>
  <c r="G45" i="4"/>
  <c r="G46" i="4"/>
  <c r="G47" i="4"/>
  <c r="I14" i="6"/>
  <c r="H53" i="6"/>
  <c r="K46" i="6"/>
  <c r="K41" i="6"/>
  <c r="I33" i="6"/>
  <c r="K26" i="6"/>
  <c r="K53" i="6"/>
  <c r="K50" i="6"/>
  <c r="K43" i="6"/>
  <c r="K34" i="6"/>
  <c r="K27" i="6"/>
  <c r="K21" i="6"/>
  <c r="K17" i="6"/>
  <c r="G48" i="6"/>
  <c r="I11" i="6"/>
  <c r="K10" i="6"/>
  <c r="G20" i="6"/>
  <c r="K49" i="6"/>
  <c r="K39" i="6"/>
  <c r="K32" i="6"/>
  <c r="J14" i="6"/>
  <c r="I48" i="6"/>
  <c r="K42" i="6"/>
  <c r="K33" i="6"/>
  <c r="K25" i="6"/>
  <c r="K23" i="6"/>
  <c r="K16" i="6"/>
  <c r="K13" i="6"/>
  <c r="J8" i="6"/>
  <c r="G12" i="6"/>
  <c r="J17" i="6"/>
  <c r="G8" i="6"/>
  <c r="G10" i="6"/>
  <c r="G13" i="6"/>
  <c r="H18" i="6"/>
  <c r="H11" i="6"/>
  <c r="H13" i="6"/>
  <c r="G16" i="6"/>
  <c r="G18" i="6"/>
  <c r="H21" i="6"/>
  <c r="H23" i="6"/>
  <c r="G26" i="6"/>
  <c r="G28" i="6"/>
  <c r="G30" i="6"/>
  <c r="G32" i="6"/>
  <c r="H35" i="6"/>
  <c r="J37" i="6"/>
  <c r="J39" i="6"/>
  <c r="J41" i="6"/>
  <c r="G45" i="6"/>
  <c r="G47" i="6"/>
  <c r="H50" i="6"/>
  <c r="J52" i="6"/>
  <c r="I22" i="6"/>
  <c r="H25" i="6"/>
  <c r="H27" i="6"/>
  <c r="H29" i="6"/>
  <c r="H31" i="6"/>
  <c r="H33" i="6"/>
  <c r="G35" i="6"/>
  <c r="G37" i="6"/>
  <c r="G39" i="6"/>
  <c r="G41" i="6"/>
  <c r="G43" i="6"/>
  <c r="H45" i="6"/>
  <c r="H47" i="6"/>
  <c r="G49" i="6"/>
  <c r="G51" i="6"/>
  <c r="G53" i="6"/>
  <c r="K8" i="6"/>
  <c r="G24" i="6"/>
  <c r="K11" i="6"/>
  <c r="H8" i="6"/>
  <c r="H9" i="6"/>
  <c r="H10" i="6"/>
  <c r="G14" i="6"/>
  <c r="J16" i="6"/>
  <c r="J18" i="6"/>
  <c r="J20" i="6"/>
  <c r="I8" i="6"/>
  <c r="I9" i="6"/>
  <c r="I10" i="6"/>
  <c r="I12" i="6"/>
  <c r="H15" i="6"/>
  <c r="H17" i="6"/>
  <c r="H19" i="6"/>
  <c r="J10" i="6"/>
  <c r="J11" i="6"/>
  <c r="J12" i="6"/>
  <c r="J13" i="6"/>
  <c r="I15" i="6"/>
  <c r="I16" i="6"/>
  <c r="I17" i="6"/>
  <c r="I18" i="6"/>
  <c r="I19" i="6"/>
  <c r="J21" i="6"/>
  <c r="J22" i="6"/>
  <c r="J23" i="6"/>
  <c r="I25" i="6"/>
  <c r="I26" i="6"/>
  <c r="I27" i="6"/>
  <c r="I28" i="6"/>
  <c r="I29" i="6"/>
  <c r="I30" i="6"/>
  <c r="I31" i="6"/>
  <c r="I32" i="6"/>
  <c r="J34" i="6"/>
  <c r="J35" i="6"/>
  <c r="H37" i="6"/>
  <c r="H38" i="6"/>
  <c r="H39" i="6"/>
  <c r="H40" i="6"/>
  <c r="H41" i="6"/>
  <c r="H42" i="6"/>
  <c r="G44" i="6"/>
  <c r="I45" i="6"/>
  <c r="I46" i="6"/>
  <c r="I47" i="6"/>
  <c r="J49" i="6"/>
  <c r="J50" i="6"/>
  <c r="H52" i="6"/>
  <c r="G21" i="6"/>
  <c r="G22" i="6"/>
  <c r="G23" i="6"/>
  <c r="I24" i="6"/>
  <c r="J25" i="6"/>
  <c r="J26" i="6"/>
  <c r="J27" i="6"/>
  <c r="J28" i="6"/>
  <c r="J29" i="6"/>
  <c r="J30" i="6"/>
  <c r="J31" i="6"/>
  <c r="J32" i="6"/>
  <c r="J33" i="6"/>
  <c r="I34" i="6"/>
  <c r="I35" i="6"/>
  <c r="I36" i="6"/>
  <c r="I37" i="6"/>
  <c r="I38" i="6"/>
  <c r="I39" i="6"/>
  <c r="I40" i="6"/>
  <c r="I41" i="6"/>
  <c r="I42" i="6"/>
  <c r="I43" i="6"/>
  <c r="J44" i="6"/>
  <c r="J45" i="6"/>
  <c r="J46" i="6"/>
  <c r="J47" i="6"/>
  <c r="J48" i="6"/>
  <c r="I49" i="6"/>
  <c r="I50" i="6"/>
  <c r="I51" i="6"/>
  <c r="I52" i="6"/>
  <c r="I53" i="6"/>
  <c r="K44" i="6"/>
  <c r="K20" i="6"/>
  <c r="K14" i="6"/>
  <c r="J36" i="6"/>
  <c r="I20" i="6"/>
  <c r="K23" i="5"/>
  <c r="K13" i="5"/>
  <c r="I52" i="5"/>
  <c r="G52" i="5"/>
  <c r="I51" i="5"/>
  <c r="G51" i="5"/>
  <c r="G50" i="5"/>
  <c r="I49" i="5"/>
  <c r="G49" i="5"/>
  <c r="I48" i="5"/>
  <c r="G48" i="5"/>
  <c r="J47" i="5"/>
  <c r="H47" i="5"/>
  <c r="J46" i="5"/>
  <c r="H46" i="5"/>
  <c r="J45" i="5"/>
  <c r="H45" i="5"/>
  <c r="J44" i="5"/>
  <c r="H44" i="5"/>
  <c r="H43" i="5"/>
  <c r="I42" i="5"/>
  <c r="G42" i="5"/>
  <c r="I41" i="5"/>
  <c r="G41" i="5"/>
  <c r="I40" i="5"/>
  <c r="G40" i="5"/>
  <c r="I39" i="5"/>
  <c r="G39" i="5"/>
  <c r="I38" i="5"/>
  <c r="G38" i="5"/>
  <c r="I37" i="5"/>
  <c r="G37" i="5"/>
  <c r="I36" i="5"/>
  <c r="G36" i="5"/>
  <c r="G35" i="5"/>
  <c r="I34" i="5"/>
  <c r="G34" i="5"/>
  <c r="I33" i="5"/>
  <c r="G33" i="5"/>
  <c r="J31" i="5"/>
  <c r="H31" i="5"/>
  <c r="J30" i="5"/>
  <c r="H30" i="5"/>
  <c r="J29" i="5"/>
  <c r="H29" i="5"/>
  <c r="J28" i="5"/>
  <c r="H28" i="5"/>
  <c r="J27" i="5"/>
  <c r="H27" i="5"/>
  <c r="J26" i="5"/>
  <c r="H26" i="5"/>
  <c r="J25" i="5"/>
  <c r="H25" i="5"/>
  <c r="J24" i="5"/>
  <c r="H24" i="5"/>
  <c r="I23" i="5"/>
  <c r="I22" i="5"/>
  <c r="G22" i="5"/>
  <c r="I21" i="5"/>
  <c r="G21" i="5"/>
  <c r="I20" i="5"/>
  <c r="G20" i="5"/>
  <c r="J19" i="5"/>
  <c r="H19" i="5"/>
  <c r="J18" i="5"/>
  <c r="H18" i="5"/>
  <c r="J17" i="5"/>
  <c r="H17" i="5"/>
  <c r="J16" i="5"/>
  <c r="H16" i="5"/>
  <c r="J15" i="5"/>
  <c r="H15" i="5"/>
  <c r="J14" i="5"/>
  <c r="H14" i="5"/>
  <c r="G13" i="5"/>
  <c r="I12" i="5"/>
  <c r="G12" i="5"/>
  <c r="I11" i="5"/>
  <c r="G11" i="5"/>
  <c r="J51" i="5"/>
  <c r="H51" i="5"/>
  <c r="H50" i="5"/>
  <c r="J49" i="5"/>
  <c r="H49" i="5"/>
  <c r="J48" i="5"/>
  <c r="H48" i="5"/>
  <c r="I47" i="5"/>
  <c r="I46" i="5"/>
  <c r="G46" i="5"/>
  <c r="I45" i="5"/>
  <c r="G45" i="5"/>
  <c r="I44" i="5"/>
  <c r="G44" i="5"/>
  <c r="G43" i="5"/>
  <c r="J41" i="5"/>
  <c r="H41" i="5"/>
  <c r="J40" i="5"/>
  <c r="H40" i="5"/>
  <c r="J39" i="5"/>
  <c r="H39" i="5"/>
  <c r="J38" i="5"/>
  <c r="H38" i="5"/>
  <c r="J37" i="5"/>
  <c r="H37" i="5"/>
  <c r="J36" i="5"/>
  <c r="H36" i="5"/>
  <c r="H35" i="5"/>
  <c r="J34" i="5"/>
  <c r="H34" i="5"/>
  <c r="J33" i="5"/>
  <c r="H33" i="5"/>
  <c r="G32" i="5"/>
  <c r="I31" i="5"/>
  <c r="G31" i="5"/>
  <c r="I30" i="5"/>
  <c r="G30" i="5"/>
  <c r="I29" i="5"/>
  <c r="G29" i="5"/>
  <c r="I28" i="5"/>
  <c r="G28" i="5"/>
  <c r="I27" i="5"/>
  <c r="G27" i="5"/>
  <c r="I26" i="5"/>
  <c r="G26" i="5"/>
  <c r="I25" i="5"/>
  <c r="G25" i="5"/>
  <c r="I24" i="5"/>
  <c r="G24" i="5"/>
  <c r="J23" i="5"/>
  <c r="H23" i="5"/>
  <c r="J22" i="5"/>
  <c r="H22" i="5"/>
  <c r="J21" i="5"/>
  <c r="H21" i="5"/>
  <c r="J20" i="5"/>
  <c r="H20" i="5"/>
  <c r="G19" i="5"/>
  <c r="I18" i="5"/>
  <c r="G18" i="5"/>
  <c r="I17" i="5"/>
  <c r="G17" i="5"/>
  <c r="I16" i="5"/>
  <c r="G16" i="5"/>
  <c r="I15" i="5"/>
  <c r="G15" i="5"/>
  <c r="I14" i="5"/>
  <c r="G14" i="5"/>
  <c r="J13" i="5"/>
  <c r="H13" i="5"/>
  <c r="J12" i="5"/>
  <c r="H12" i="5"/>
  <c r="J11" i="5"/>
  <c r="H11" i="5"/>
  <c r="J10" i="5"/>
  <c r="H10" i="5"/>
  <c r="J9" i="5"/>
  <c r="H9" i="5"/>
  <c r="J8" i="5"/>
  <c r="H8" i="5"/>
  <c r="I10" i="5"/>
  <c r="G10" i="5"/>
  <c r="I9" i="5"/>
  <c r="G9" i="5"/>
  <c r="I8" i="5"/>
  <c r="G8" i="5"/>
  <c r="K9" i="5"/>
  <c r="G47" i="5"/>
  <c r="K51" i="5"/>
  <c r="K10" i="5"/>
  <c r="K16" i="5"/>
  <c r="I19" i="5"/>
  <c r="K20" i="5"/>
  <c r="K26" i="5"/>
  <c r="K30" i="5"/>
  <c r="H32" i="5"/>
  <c r="I35" i="5"/>
  <c r="K37" i="5"/>
  <c r="K41" i="5"/>
  <c r="K44" i="5"/>
  <c r="K49" i="5"/>
  <c r="H52" i="5"/>
  <c r="K11" i="5"/>
  <c r="K15" i="5"/>
  <c r="K21" i="5"/>
  <c r="K27" i="5"/>
  <c r="K31" i="5"/>
  <c r="K33" i="5"/>
  <c r="K38" i="5"/>
  <c r="K45" i="5"/>
  <c r="J50" i="5"/>
  <c r="J52" i="5"/>
  <c r="K12" i="5"/>
  <c r="K14" i="5"/>
  <c r="K18" i="5"/>
  <c r="K22" i="5"/>
  <c r="K24" i="5"/>
  <c r="K28" i="5"/>
  <c r="K34" i="5"/>
  <c r="K39" i="5"/>
  <c r="J42" i="5"/>
  <c r="J43" i="5"/>
  <c r="K46" i="5"/>
  <c r="I50" i="5"/>
  <c r="K17" i="5"/>
  <c r="K25" i="5"/>
  <c r="K29" i="5"/>
  <c r="I32" i="5"/>
  <c r="J32" i="5"/>
  <c r="K36" i="5"/>
  <c r="K40" i="5"/>
  <c r="H42" i="5"/>
  <c r="K48" i="5"/>
  <c r="K52" i="5"/>
  <c r="I43" i="5"/>
  <c r="K32" i="5"/>
  <c r="K42" i="5"/>
  <c r="K8" i="5"/>
  <c r="K47" i="5"/>
  <c r="G23" i="5"/>
  <c r="J35" i="5"/>
  <c r="K43" i="5"/>
  <c r="K19" i="5"/>
  <c r="I13" i="5"/>
  <c r="K50" i="5"/>
  <c r="E40" i="2"/>
  <c r="C40" i="2"/>
  <c r="D40" i="2"/>
  <c r="G50" i="4" l="1"/>
  <c r="K50" i="4"/>
  <c r="I50" i="4"/>
  <c r="G54" i="6"/>
  <c r="K53" i="5"/>
  <c r="H50" i="4"/>
  <c r="J50" i="4"/>
  <c r="I54" i="6"/>
  <c r="K54" i="6"/>
  <c r="J54" i="6"/>
  <c r="H54" i="6"/>
  <c r="J53" i="5"/>
  <c r="G53" i="5"/>
  <c r="H53" i="5"/>
  <c r="I53" i="5"/>
</calcChain>
</file>

<file path=xl/sharedStrings.xml><?xml version="1.0" encoding="utf-8"?>
<sst xmlns="http://schemas.openxmlformats.org/spreadsheetml/2006/main" count="900" uniqueCount="117">
  <si>
    <t>Общий итог</t>
  </si>
  <si>
    <t>ВН</t>
  </si>
  <si>
    <t>НН</t>
  </si>
  <si>
    <t>Брянская область</t>
  </si>
  <si>
    <t>Волгоградская область</t>
  </si>
  <si>
    <t>Ивановская область</t>
  </si>
  <si>
    <t>Кировская область</t>
  </si>
  <si>
    <t>Курганская область</t>
  </si>
  <si>
    <t>Ленинградская область</t>
  </si>
  <si>
    <t>Липецкая область</t>
  </si>
  <si>
    <t>Московская область</t>
  </si>
  <si>
    <t>Омская область</t>
  </si>
  <si>
    <t>Оренбургская область</t>
  </si>
  <si>
    <t>Орловская область</t>
  </si>
  <si>
    <t>Пермский край</t>
  </si>
  <si>
    <t>Псковская область</t>
  </si>
  <si>
    <t>Республика Башкортостан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</si>
  <si>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</si>
  <si>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</si>
  <si>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</si>
  <si>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</si>
  <si>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</si>
  <si>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</si>
  <si>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Ставропольский край</t>
  </si>
  <si>
    <t>Тамбовская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</si>
  <si>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</si>
  <si>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</si>
  <si>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</si>
  <si>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</si>
  <si>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электроэнергия, %</t>
  </si>
  <si>
    <t>Республика Марий Эл</t>
  </si>
  <si>
    <t>Удмуртская Республика</t>
  </si>
  <si>
    <t>Чувашская Республика</t>
  </si>
  <si>
    <t xml:space="preserve">Объем фактического полезного отпуска электроэнергии и мощности </t>
  </si>
  <si>
    <t>тарифная группа: прочие потребители*</t>
  </si>
  <si>
    <t>Регион</t>
  </si>
  <si>
    <t xml:space="preserve"> мощность %</t>
  </si>
  <si>
    <t xml:space="preserve"> </t>
  </si>
  <si>
    <t xml:space="preserve">ООО "МагнитЭнерго" в сентябре 2013 г. </t>
  </si>
  <si>
    <t>СН1</t>
  </si>
  <si>
    <t>СН2</t>
  </si>
  <si>
    <t>ВСЕГО</t>
  </si>
  <si>
    <t>электроэнергия, кВтч</t>
  </si>
  <si>
    <t xml:space="preserve"> мощность, кВт</t>
  </si>
  <si>
    <t>Астраханская область</t>
  </si>
  <si>
    <t>Республика Карелия</t>
  </si>
  <si>
    <t>Примечание:</t>
  </si>
  <si>
    <t>Республика Карачаево-Черкесская</t>
  </si>
  <si>
    <t>Республика Калмыкия</t>
  </si>
  <si>
    <t>Республика Кабардино-Балкарская</t>
  </si>
  <si>
    <t>Республика Мордовия</t>
  </si>
  <si>
    <t>Воронежская область</t>
  </si>
  <si>
    <t>Краснодарский край и Республика Адыгея</t>
  </si>
  <si>
    <t>Смоленская область</t>
  </si>
  <si>
    <t>Калужская область</t>
  </si>
  <si>
    <t>Ханты-Мансийский автономный окгуг</t>
  </si>
  <si>
    <t>Тульская область</t>
  </si>
  <si>
    <t>1. ООО "МагнитЭнерго" не осуществляет поставку электрической энергии и мощности потребителям других тарифных групп</t>
  </si>
  <si>
    <t>3. Величина мощности, принятая к расчету с сетевыми компаниями по двухставочному тарифу,  30,588 МВт</t>
  </si>
  <si>
    <t>2.  Фактический объем реализации электроэнергии  49 463,655 тыс.кВтч</t>
  </si>
  <si>
    <t xml:space="preserve">ООО "МагнитЭнерго" в январе 2013 г. </t>
  </si>
  <si>
    <t xml:space="preserve">ООО "МагнитЭнерго" в феврале 2013 г. </t>
  </si>
  <si>
    <t xml:space="preserve">ООО "МагнитЭнерго" в марте 2013 г. </t>
  </si>
  <si>
    <t xml:space="preserve">ООО "МагнитЭнерго" в апреле 2013 г. </t>
  </si>
  <si>
    <t xml:space="preserve">ООО "МагнитЭнерго" в мае 2013 г. </t>
  </si>
  <si>
    <t xml:space="preserve">ООО "МагнитЭнерго" в июне 2013 г. </t>
  </si>
  <si>
    <t xml:space="preserve">ООО "МагнитЭнерго" в июле 2013 г. </t>
  </si>
  <si>
    <t xml:space="preserve">ООО "МагнитЭнерго" в августе 2013 г. </t>
  </si>
  <si>
    <t xml:space="preserve">ООО "МагнитЭнерго" в октябре 2013 г. </t>
  </si>
  <si>
    <t xml:space="preserve">ООО "МагнитЭнерго" в ноябре 2013 г. </t>
  </si>
  <si>
    <t xml:space="preserve">ООО "МагнитЭнерго" в декабре 2013 г. </t>
  </si>
  <si>
    <t>Вологодская область</t>
  </si>
  <si>
    <t>Владимирская область</t>
  </si>
  <si>
    <t>Курская область</t>
  </si>
  <si>
    <t>Нижегородская область</t>
  </si>
  <si>
    <t>Новгородская область</t>
  </si>
  <si>
    <t>ООО «МагнитЭнерго»</t>
  </si>
  <si>
    <t>_________________ В.В. Калашников</t>
  </si>
  <si>
    <t xml:space="preserve">1. ООО "МагнитЭнерго" не осуществляет поставку электрической энергии и мощности </t>
  </si>
  <si>
    <t>потребителям других тарифных групп</t>
  </si>
  <si>
    <t>2.  Фактический объем реализации электроэнергии  25 849,02 тыс.кВтч</t>
  </si>
  <si>
    <t>3. Величина фактической мощности 39,3 МВт</t>
  </si>
  <si>
    <t>3. Величина фактической мощности 49,551 МВт</t>
  </si>
  <si>
    <t>2.  Фактический объем реализации электроэнергии 32 494,291 тыс.кВтч</t>
  </si>
  <si>
    <t>3. Величина фактической мощности 54,948 МВт</t>
  </si>
  <si>
    <t>2.  Фактический объем реализации электроэнергии 36 686,252 тыс.кВтч</t>
  </si>
  <si>
    <t>3. Величина фактической мощности 53,151 МВт</t>
  </si>
  <si>
    <t>2.  Фактический объем реализации электроэнергии 35 749,145 тыс.кВтч</t>
  </si>
  <si>
    <t>2.  Фактический объем реализации электроэнергии 38 809,541 тыс.кВтч</t>
  </si>
  <si>
    <t>3. Величина фактической мощности 58,083 МВт</t>
  </si>
  <si>
    <t>2.  Фактический объем реализации электроэнергии 41 880,887 тыс.кВтч</t>
  </si>
  <si>
    <t>3. Величина фактической мощности 63,851 МВт</t>
  </si>
  <si>
    <t>2.  Фактический объем реализации электроэнергии 51 145,754 тыс.кВтч</t>
  </si>
  <si>
    <t>3. Величина фактической мощности 77,961 МВт</t>
  </si>
  <si>
    <t>2.  Фактический объем реализации электроэнергии 52 174,214 тыс.кВтч</t>
  </si>
  <si>
    <t>3. Величина фактической мощности 80,646 МВт</t>
  </si>
  <si>
    <t>2.  Фактический объем реализации электроэнергии 55 851,82 тыс.кВтч</t>
  </si>
  <si>
    <t>3. Величина фактической мощности 86,33 МВт</t>
  </si>
  <si>
    <t>3. Величина фактической мощности 94,606 МВт</t>
  </si>
  <si>
    <t>3. Величина фактической мощности 109,14 МВт</t>
  </si>
  <si>
    <t>Приложение №3</t>
  </si>
  <si>
    <t>2.  Фактический объем реализации электроэнергии 70 945,454 тыс.кВтч</t>
  </si>
  <si>
    <t>2.  Фактический объем реализации электроэнергии 63 360,024 тыс.кВтч</t>
  </si>
  <si>
    <t>Полезный отпуск потребителям за 2013 год</t>
  </si>
  <si>
    <t>итого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</si>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</sst>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9]General"/>
    <numFmt numFmtId="165" formatCode="0.000"/>
    <numFmt numFmtId="166" formatCode="#,##0.000"/>
  </numFmts>
  <fonts count="17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10" fillId="0" borderId="0"/>
  </cellStyleXfs>
  <cellXfs count="75">
    <xf numFmtId="0" fontId="0" fillId="0" borderId="0" xfId="0"/>
    <xf numFmtId="3" fontId="2" fillId="0" borderId="2" xfId="0" applyNumberFormat="1" applyFont="1" applyFill="1" applyBorder="1" applyAlignment="1">
      <alignment horizontal="right" vertical="center"/>
    </xf>
    <xf numFmtId="0" fontId="4" fillId="0" borderId="0" xfId="0" applyFont="1"/>
    <xf numFmtId="0" fontId="5" fillId="0" borderId="0" xfId="0" applyFont="1"/>
    <xf numFmtId="0" fontId="4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4" fillId="0" borderId="0" xfId="0" applyFont="1" applyFill="1"/>
    <xf numFmtId="0" fontId="6" fillId="0" borderId="0" xfId="0" applyFont="1" applyFill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6" xfId="0" applyFont="1" applyBorder="1"/>
    <xf numFmtId="10" fontId="4" fillId="0" borderId="2" xfId="0" applyNumberFormat="1" applyFont="1" applyFill="1" applyBorder="1" applyAlignment="1">
      <alignment horizontal="center"/>
    </xf>
    <xf numFmtId="3" fontId="4" fillId="2" borderId="2" xfId="0" applyNumberFormat="1" applyFont="1" applyFill="1" applyBorder="1"/>
    <xf numFmtId="3" fontId="4" fillId="0" borderId="2" xfId="0" applyNumberFormat="1" applyFont="1" applyFill="1" applyBorder="1"/>
    <xf numFmtId="3" fontId="4" fillId="0" borderId="2" xfId="0" applyNumberFormat="1" applyFont="1" applyFill="1" applyBorder="1" applyAlignment="1">
      <alignment horizontal="right"/>
    </xf>
    <xf numFmtId="3" fontId="4" fillId="0" borderId="0" xfId="0" applyNumberFormat="1" applyFont="1"/>
    <xf numFmtId="0" fontId="8" fillId="0" borderId="5" xfId="0" applyFont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Fill="1"/>
    <xf numFmtId="0" fontId="9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10" fontId="4" fillId="0" borderId="2" xfId="0" applyNumberFormat="1" applyFont="1" applyBorder="1" applyAlignment="1">
      <alignment horizontal="center"/>
    </xf>
    <xf numFmtId="3" fontId="4" fillId="0" borderId="2" xfId="0" applyNumberFormat="1" applyFont="1" applyBorder="1"/>
    <xf numFmtId="0" fontId="11" fillId="0" borderId="0" xfId="2" applyFont="1"/>
    <xf numFmtId="0" fontId="4" fillId="0" borderId="0" xfId="0" applyFont="1" applyFill="1" applyBorder="1" applyAlignment="1">
      <alignment horizontal="right"/>
    </xf>
    <xf numFmtId="0" fontId="3" fillId="0" borderId="0" xfId="0" applyFont="1"/>
    <xf numFmtId="0" fontId="4" fillId="0" borderId="0" xfId="0" applyFont="1" applyFill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/>
    <xf numFmtId="3" fontId="4" fillId="0" borderId="0" xfId="0" applyNumberFormat="1" applyFont="1" applyFill="1"/>
    <xf numFmtId="0" fontId="8" fillId="0" borderId="5" xfId="0" applyFont="1" applyFill="1" applyBorder="1"/>
    <xf numFmtId="0" fontId="13" fillId="0" borderId="0" xfId="2" applyFont="1"/>
    <xf numFmtId="0" fontId="3" fillId="0" borderId="0" xfId="0" applyFont="1" applyFill="1"/>
    <xf numFmtId="0" fontId="13" fillId="0" borderId="0" xfId="2" applyFont="1" applyFill="1"/>
    <xf numFmtId="0" fontId="11" fillId="0" borderId="0" xfId="2" applyFont="1" applyFill="1"/>
    <xf numFmtId="10" fontId="4" fillId="2" borderId="2" xfId="0" applyNumberFormat="1" applyFont="1" applyFill="1" applyBorder="1" applyAlignment="1">
      <alignment horizontal="center"/>
    </xf>
    <xf numFmtId="3" fontId="4" fillId="2" borderId="2" xfId="0" applyNumberFormat="1" applyFont="1" applyFill="1" applyBorder="1" applyAlignment="1">
      <alignment horizontal="right"/>
    </xf>
    <xf numFmtId="0" fontId="8" fillId="0" borderId="0" xfId="0" applyFont="1" applyFill="1" applyBorder="1"/>
    <xf numFmtId="10" fontId="4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14" fillId="0" borderId="0" xfId="2" applyFont="1" applyFill="1"/>
    <xf numFmtId="0" fontId="2" fillId="0" borderId="0" xfId="2" applyFont="1" applyFill="1"/>
    <xf numFmtId="0" fontId="15" fillId="0" borderId="0" xfId="0" applyFont="1" applyFill="1"/>
    <xf numFmtId="0" fontId="2" fillId="0" borderId="0" xfId="0" applyFont="1" applyFill="1" applyAlignment="1">
      <alignment wrapText="1"/>
    </xf>
    <xf numFmtId="0" fontId="12" fillId="0" borderId="0" xfId="0" applyFont="1" applyFill="1" applyAlignment="1">
      <alignment wrapText="1"/>
    </xf>
    <xf numFmtId="0" fontId="12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5" fillId="0" borderId="6" xfId="0" applyFont="1" applyFill="1" applyBorder="1"/>
    <xf numFmtId="10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3" fontId="2" fillId="0" borderId="2" xfId="0" applyNumberFormat="1" applyFont="1" applyFill="1" applyBorder="1" applyAlignment="1">
      <alignment horizontal="right"/>
    </xf>
    <xf numFmtId="3" fontId="2" fillId="0" borderId="0" xfId="0" applyNumberFormat="1" applyFont="1" applyFill="1"/>
    <xf numFmtId="0" fontId="16" fillId="0" borderId="0" xfId="2" applyFont="1" applyAlignment="1">
      <alignment horizontal="left"/>
    </xf>
    <xf numFmtId="0" fontId="4" fillId="0" borderId="0" xfId="0" applyFont="1" applyAlignment="1">
      <alignment horizontal="left"/>
    </xf>
    <xf numFmtId="165" fontId="2" fillId="0" borderId="0" xfId="0" applyNumberFormat="1" applyFont="1" applyFill="1"/>
    <xf numFmtId="166" fontId="2" fillId="0" borderId="0" xfId="0" applyNumberFormat="1" applyFont="1" applyFill="1"/>
    <xf numFmtId="0" fontId="3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6" fillId="0" borderId="0" xfId="2" applyFont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TableStyleLight1" xfId="2" xr:uid="{00000000-0005-0000-0000-000001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!&#1042;&#1072;&#1083;&#1103;%20&#1055;&#1086;&#1083;&#1077;&#1079;&#1085;&#1099;&#1081;%20&#1086;&#1090;&#1087;&#1091;&#1089;&#1082;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 "/>
      <sheetName val="октябрь"/>
      <sheetName val="ноябрь"/>
      <sheetName val="декабрь"/>
      <sheetName val="суммы по региона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50">
          <cell r="N50">
            <v>347957</v>
          </cell>
          <cell r="O50">
            <v>255592</v>
          </cell>
        </row>
      </sheetData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W46"/>
  <sheetViews>
    <sheetView view="pageBreakPreview" topLeftCell="A11" zoomScaleNormal="100" zoomScaleSheetLayoutView="100" workbookViewId="0">
      <selection activeCell="P37" sqref="P37"/>
    </sheetView>
  </sheetViews>
  <sheetFormatPr defaultRowHeight="15" x14ac:dyDescent="0.25"/>
  <cols>
    <col min="1" max="1" width="38" style="6" customWidth="1"/>
    <col min="2" max="13" width="9.140625" style="6" customWidth="1"/>
    <col min="14" max="14" width="9.85546875" style="6" customWidth="1"/>
    <col min="15" max="15" width="10.140625" style="6" customWidth="1"/>
    <col min="16" max="16" width="10" style="6" customWidth="1"/>
    <col min="17" max="21" width="9.140625" style="28" customWidth="1"/>
    <col min="22" max="27" width="9.140625" style="6" customWidth="1"/>
    <col min="28" max="16384" width="9.140625" style="6"/>
  </cols>
  <sheetData>
    <row r="1" spans="1:22" ht="15" customHeight="1" x14ac:dyDescent="0.25">
      <c r="J1" s="59" t="s">
        <v>100</v>
      </c>
    </row>
    <row r="2" spans="1:22" ht="15.75" x14ac:dyDescent="0.25">
      <c r="A2" s="67" t="s">
        <v>33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22" ht="15.75" x14ac:dyDescent="0.25">
      <c r="A3" s="67" t="s">
        <v>60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22" x14ac:dyDescent="0.25">
      <c r="A4" s="18" t="s">
        <v>34</v>
      </c>
      <c r="B4" s="4"/>
      <c r="C4" s="4"/>
      <c r="D4" s="4"/>
      <c r="E4" s="4"/>
      <c r="F4" s="5"/>
      <c r="K4" s="7"/>
    </row>
    <row r="5" spans="1:22" x14ac:dyDescent="0.25">
      <c r="A5" s="68" t="s">
        <v>35</v>
      </c>
      <c r="B5" s="66" t="s">
        <v>29</v>
      </c>
      <c r="C5" s="66"/>
      <c r="D5" s="66"/>
      <c r="E5" s="66"/>
      <c r="F5" s="66"/>
      <c r="G5" s="66" t="s">
        <v>36</v>
      </c>
      <c r="H5" s="66"/>
      <c r="I5" s="66"/>
      <c r="J5" s="66"/>
      <c r="K5" s="66"/>
      <c r="L5" s="66" t="s">
        <v>42</v>
      </c>
      <c r="M5" s="66"/>
      <c r="N5" s="66"/>
      <c r="O5" s="66"/>
      <c r="P5" s="66"/>
      <c r="Q5" s="66" t="s">
        <v>43</v>
      </c>
      <c r="R5" s="66"/>
      <c r="S5" s="66"/>
      <c r="T5" s="66"/>
      <c r="U5" s="66"/>
    </row>
    <row r="6" spans="1:22" x14ac:dyDescent="0.25">
      <c r="A6" s="69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</row>
    <row r="7" spans="1:22" x14ac:dyDescent="0.25">
      <c r="A7" s="29" t="s">
        <v>37</v>
      </c>
      <c r="B7" s="9" t="s">
        <v>1</v>
      </c>
      <c r="C7" s="9" t="s">
        <v>39</v>
      </c>
      <c r="D7" s="9" t="s">
        <v>40</v>
      </c>
      <c r="E7" s="9" t="s">
        <v>2</v>
      </c>
      <c r="F7" s="9" t="s">
        <v>41</v>
      </c>
      <c r="G7" s="9" t="s">
        <v>1</v>
      </c>
      <c r="H7" s="9" t="s">
        <v>39</v>
      </c>
      <c r="I7" s="9" t="s">
        <v>40</v>
      </c>
      <c r="J7" s="9" t="s">
        <v>2</v>
      </c>
      <c r="K7" s="9" t="s">
        <v>41</v>
      </c>
      <c r="L7" s="9" t="s">
        <v>1</v>
      </c>
      <c r="M7" s="9" t="s">
        <v>39</v>
      </c>
      <c r="N7" s="9" t="s">
        <v>40</v>
      </c>
      <c r="O7" s="9" t="s">
        <v>2</v>
      </c>
      <c r="P7" s="9" t="s">
        <v>41</v>
      </c>
      <c r="Q7" s="9" t="s">
        <v>1</v>
      </c>
      <c r="R7" s="9" t="s">
        <v>39</v>
      </c>
      <c r="S7" s="9" t="s">
        <v>40</v>
      </c>
      <c r="T7" s="9" t="s">
        <v>2</v>
      </c>
      <c r="U7" s="9" t="s">
        <v>41</v>
      </c>
    </row>
    <row r="8" spans="1:22" x14ac:dyDescent="0.25">
      <c r="A8" s="30" t="s">
        <v>3</v>
      </c>
      <c r="B8" s="11">
        <f t="shared" ref="B8:B33" si="0">IF(L8/$P$34=0,"-",L8/$P$34)</f>
        <v>1.0091858916328095E-2</v>
      </c>
      <c r="C8" s="11" t="str">
        <f t="shared" ref="C8:C33" si="1">IF(M8/$P$34=0,"-",M8/$P$34)</f>
        <v>-</v>
      </c>
      <c r="D8" s="11" t="str">
        <f t="shared" ref="D8:D33" si="2">IF(N8/$P$34=0,"-",N8/$P$34)</f>
        <v>-</v>
      </c>
      <c r="E8" s="11" t="str">
        <f t="shared" ref="E8:E33" si="3">IF(O8/$P$34=0,"-",O8/$P$34)</f>
        <v>-</v>
      </c>
      <c r="F8" s="11">
        <f t="shared" ref="F8:F33" si="4">P8/$P$34</f>
        <v>1.0091858916328095E-2</v>
      </c>
      <c r="G8" s="11">
        <f t="shared" ref="G8:G33" si="5">IF(Q8/$U$34=0,"-",Q8/$U$34)</f>
        <v>1.0091858916328095E-2</v>
      </c>
      <c r="H8" s="11" t="str">
        <f t="shared" ref="H8:H33" si="6">IF(R8/$U$34=0,"-",R8/$U$34)</f>
        <v>-</v>
      </c>
      <c r="I8" s="11" t="str">
        <f t="shared" ref="I8:I33" si="7">IF(S8/$U$34=0,"-",S8/$U$34)</f>
        <v>-</v>
      </c>
      <c r="J8" s="11" t="str">
        <f t="shared" ref="J8:J33" si="8">IF(T8/$U$34=0,"-",T8/$U$34)</f>
        <v>-</v>
      </c>
      <c r="K8" s="11">
        <f t="shared" ref="K8:K33" si="9">IF(U8/$U$34=0,"-",U8/$U$34)</f>
        <v>1.0091858916328095E-2</v>
      </c>
      <c r="L8" s="13">
        <v>256726</v>
      </c>
      <c r="M8" s="13"/>
      <c r="N8" s="13"/>
      <c r="O8" s="13"/>
      <c r="P8" s="13">
        <f t="shared" ref="P8:P33" si="10">SUM(L8:O8)</f>
        <v>256726</v>
      </c>
      <c r="Q8" s="14">
        <f t="shared" ref="Q8:T35" si="11">IF(L8/744*1.15=0,"0",L8/744*1.15)</f>
        <v>396.82110215053763</v>
      </c>
      <c r="R8" s="14" t="str">
        <f t="shared" si="11"/>
        <v>0</v>
      </c>
      <c r="S8" s="14" t="str">
        <f t="shared" si="11"/>
        <v>0</v>
      </c>
      <c r="T8" s="14" t="str">
        <f t="shared" si="11"/>
        <v>0</v>
      </c>
      <c r="U8" s="14">
        <f t="shared" ref="U8:U35" si="12">Q8+R8+S8+T8</f>
        <v>396.82110215053763</v>
      </c>
      <c r="V8" s="6">
        <v>1</v>
      </c>
    </row>
    <row r="9" spans="1:22" x14ac:dyDescent="0.25">
      <c r="A9" s="30" t="s">
        <v>4</v>
      </c>
      <c r="B9" s="11" t="str">
        <f t="shared" si="0"/>
        <v>-</v>
      </c>
      <c r="C9" s="11" t="str">
        <f t="shared" si="1"/>
        <v>-</v>
      </c>
      <c r="D9" s="11">
        <f t="shared" si="2"/>
        <v>2.4000625029658541E-2</v>
      </c>
      <c r="E9" s="11">
        <f t="shared" si="3"/>
        <v>2.1813503949648483E-2</v>
      </c>
      <c r="F9" s="11">
        <f t="shared" si="4"/>
        <v>4.5814128979307027E-2</v>
      </c>
      <c r="G9" s="11" t="str">
        <f t="shared" si="5"/>
        <v>-</v>
      </c>
      <c r="H9" s="11" t="str">
        <f t="shared" si="6"/>
        <v>-</v>
      </c>
      <c r="I9" s="11">
        <f t="shared" si="7"/>
        <v>2.4000625029658541E-2</v>
      </c>
      <c r="J9" s="11">
        <f t="shared" si="8"/>
        <v>2.1813503949648479E-2</v>
      </c>
      <c r="K9" s="11">
        <f t="shared" si="9"/>
        <v>4.581412897930702E-2</v>
      </c>
      <c r="L9" s="13"/>
      <c r="M9" s="13"/>
      <c r="N9" s="13">
        <v>610550</v>
      </c>
      <c r="O9" s="13">
        <v>554912</v>
      </c>
      <c r="P9" s="13">
        <f t="shared" si="10"/>
        <v>1165462</v>
      </c>
      <c r="Q9" s="14" t="str">
        <f t="shared" si="11"/>
        <v>0</v>
      </c>
      <c r="R9" s="14" t="str">
        <f t="shared" si="11"/>
        <v>0</v>
      </c>
      <c r="S9" s="14">
        <f t="shared" si="11"/>
        <v>943.72647849462362</v>
      </c>
      <c r="T9" s="14">
        <f t="shared" si="11"/>
        <v>857.72688172043001</v>
      </c>
      <c r="U9" s="14">
        <f t="shared" si="12"/>
        <v>1801.4533602150536</v>
      </c>
      <c r="V9" s="6">
        <f>V8+1</f>
        <v>2</v>
      </c>
    </row>
    <row r="10" spans="1:22" x14ac:dyDescent="0.25">
      <c r="A10" s="30" t="s">
        <v>51</v>
      </c>
      <c r="B10" s="11" t="str">
        <f t="shared" si="0"/>
        <v>-</v>
      </c>
      <c r="C10" s="11" t="str">
        <f t="shared" si="1"/>
        <v>-</v>
      </c>
      <c r="D10" s="11">
        <f t="shared" si="2"/>
        <v>3.1926668801225244E-2</v>
      </c>
      <c r="E10" s="11">
        <f t="shared" si="3"/>
        <v>2.1229398983117164E-2</v>
      </c>
      <c r="F10" s="11">
        <f t="shared" si="4"/>
        <v>5.3156067784342412E-2</v>
      </c>
      <c r="G10" s="11" t="str">
        <f t="shared" si="5"/>
        <v>-</v>
      </c>
      <c r="H10" s="11" t="str">
        <f t="shared" si="6"/>
        <v>-</v>
      </c>
      <c r="I10" s="11">
        <f t="shared" si="7"/>
        <v>3.1926668801225244E-2</v>
      </c>
      <c r="J10" s="11">
        <f t="shared" si="8"/>
        <v>2.1229398983117161E-2</v>
      </c>
      <c r="K10" s="11">
        <f t="shared" si="9"/>
        <v>5.3156067784342405E-2</v>
      </c>
      <c r="L10" s="13"/>
      <c r="M10" s="13"/>
      <c r="N10" s="13">
        <v>812180</v>
      </c>
      <c r="O10" s="13">
        <v>540053</v>
      </c>
      <c r="P10" s="13">
        <f t="shared" si="10"/>
        <v>1352233</v>
      </c>
      <c r="Q10" s="14" t="str">
        <f t="shared" si="11"/>
        <v>0</v>
      </c>
      <c r="R10" s="14" t="str">
        <f t="shared" si="11"/>
        <v>0</v>
      </c>
      <c r="S10" s="14">
        <f t="shared" si="11"/>
        <v>1255.385752688172</v>
      </c>
      <c r="T10" s="14">
        <f t="shared" si="11"/>
        <v>834.75934139784943</v>
      </c>
      <c r="U10" s="14">
        <f t="shared" si="12"/>
        <v>2090.1450940860213</v>
      </c>
      <c r="V10" s="6">
        <f t="shared" ref="V10:V33" si="13">V9+1</f>
        <v>3</v>
      </c>
    </row>
    <row r="11" spans="1:22" x14ac:dyDescent="0.25">
      <c r="A11" s="30" t="s">
        <v>6</v>
      </c>
      <c r="B11" s="11" t="str">
        <f t="shared" si="0"/>
        <v>-</v>
      </c>
      <c r="C11" s="11" t="str">
        <f t="shared" si="1"/>
        <v>-</v>
      </c>
      <c r="D11" s="11">
        <f t="shared" si="2"/>
        <v>4.656290288081376E-3</v>
      </c>
      <c r="E11" s="11">
        <f t="shared" si="3"/>
        <v>1.4209289867898852E-2</v>
      </c>
      <c r="F11" s="11">
        <f t="shared" si="4"/>
        <v>1.8865580155980225E-2</v>
      </c>
      <c r="G11" s="11" t="str">
        <f t="shared" si="5"/>
        <v>-</v>
      </c>
      <c r="H11" s="11" t="str">
        <f t="shared" si="6"/>
        <v>-</v>
      </c>
      <c r="I11" s="11">
        <f t="shared" si="7"/>
        <v>4.6562902880813752E-3</v>
      </c>
      <c r="J11" s="11">
        <f t="shared" si="8"/>
        <v>1.420928986789885E-2</v>
      </c>
      <c r="K11" s="11">
        <f t="shared" si="9"/>
        <v>1.8865580155980225E-2</v>
      </c>
      <c r="L11" s="13"/>
      <c r="M11" s="13"/>
      <c r="N11" s="13">
        <v>118451</v>
      </c>
      <c r="O11" s="13">
        <v>361469</v>
      </c>
      <c r="P11" s="13">
        <f t="shared" si="10"/>
        <v>479920</v>
      </c>
      <c r="Q11" s="14" t="str">
        <f t="shared" si="11"/>
        <v>0</v>
      </c>
      <c r="R11" s="14" t="str">
        <f t="shared" si="11"/>
        <v>0</v>
      </c>
      <c r="S11" s="14">
        <f t="shared" si="11"/>
        <v>183.08958333333334</v>
      </c>
      <c r="T11" s="14">
        <f t="shared" si="11"/>
        <v>558.72224462365591</v>
      </c>
      <c r="U11" s="14">
        <f t="shared" si="12"/>
        <v>741.81182795698919</v>
      </c>
      <c r="V11" s="6">
        <f t="shared" si="13"/>
        <v>4</v>
      </c>
    </row>
    <row r="12" spans="1:22" x14ac:dyDescent="0.25">
      <c r="A12" s="30" t="s">
        <v>52</v>
      </c>
      <c r="B12" s="11">
        <f t="shared" si="0"/>
        <v>1.2528833362464615E-2</v>
      </c>
      <c r="C12" s="11" t="str">
        <f t="shared" si="1"/>
        <v>-</v>
      </c>
      <c r="D12" s="11">
        <f t="shared" si="2"/>
        <v>0.14169087690816168</v>
      </c>
      <c r="E12" s="11">
        <f t="shared" si="3"/>
        <v>7.1972700502327097E-2</v>
      </c>
      <c r="F12" s="11">
        <f t="shared" si="4"/>
        <v>0.22619241077295341</v>
      </c>
      <c r="G12" s="11">
        <f t="shared" si="5"/>
        <v>1.2528833362464612E-2</v>
      </c>
      <c r="H12" s="11" t="str">
        <f t="shared" si="6"/>
        <v>-</v>
      </c>
      <c r="I12" s="11">
        <f t="shared" si="7"/>
        <v>0.14169087690816165</v>
      </c>
      <c r="J12" s="11">
        <f t="shared" si="8"/>
        <v>7.1972700502327083E-2</v>
      </c>
      <c r="K12" s="11">
        <f t="shared" si="9"/>
        <v>0.22619241077295338</v>
      </c>
      <c r="L12" s="13">
        <v>318720</v>
      </c>
      <c r="M12" s="13">
        <v>0</v>
      </c>
      <c r="N12" s="13">
        <v>3604463</v>
      </c>
      <c r="O12" s="13">
        <v>1830907.83</v>
      </c>
      <c r="P12" s="13">
        <f t="shared" si="10"/>
        <v>5754090.8300000001</v>
      </c>
      <c r="Q12" s="14">
        <f t="shared" si="11"/>
        <v>492.64516129032251</v>
      </c>
      <c r="R12" s="14" t="str">
        <f t="shared" si="11"/>
        <v>0</v>
      </c>
      <c r="S12" s="14">
        <f t="shared" si="11"/>
        <v>5571.4145833333323</v>
      </c>
      <c r="T12" s="14">
        <f t="shared" si="11"/>
        <v>2830.0322641129032</v>
      </c>
      <c r="U12" s="14">
        <f t="shared" si="12"/>
        <v>8894.0920087365594</v>
      </c>
      <c r="V12" s="6">
        <f t="shared" si="13"/>
        <v>5</v>
      </c>
    </row>
    <row r="13" spans="1:22" x14ac:dyDescent="0.25">
      <c r="A13" s="30" t="s">
        <v>9</v>
      </c>
      <c r="B13" s="11" t="str">
        <f t="shared" si="0"/>
        <v>-</v>
      </c>
      <c r="C13" s="11" t="str">
        <f t="shared" si="1"/>
        <v>-</v>
      </c>
      <c r="D13" s="11" t="str">
        <f t="shared" si="2"/>
        <v>-</v>
      </c>
      <c r="E13" s="11">
        <f t="shared" si="3"/>
        <v>5.8064570029168182E-4</v>
      </c>
      <c r="F13" s="11">
        <f t="shared" si="4"/>
        <v>5.8064570029168182E-4</v>
      </c>
      <c r="G13" s="11" t="str">
        <f t="shared" si="5"/>
        <v>-</v>
      </c>
      <c r="H13" s="11" t="str">
        <f t="shared" si="6"/>
        <v>-</v>
      </c>
      <c r="I13" s="11" t="str">
        <f t="shared" si="7"/>
        <v>-</v>
      </c>
      <c r="J13" s="11">
        <f t="shared" si="8"/>
        <v>5.8064570029168171E-4</v>
      </c>
      <c r="K13" s="11">
        <f t="shared" si="9"/>
        <v>5.8064570029168171E-4</v>
      </c>
      <c r="L13" s="13"/>
      <c r="M13" s="13"/>
      <c r="N13" s="13"/>
      <c r="O13" s="13">
        <v>14771</v>
      </c>
      <c r="P13" s="13">
        <f t="shared" si="10"/>
        <v>14771</v>
      </c>
      <c r="Q13" s="14" t="str">
        <f t="shared" si="11"/>
        <v>0</v>
      </c>
      <c r="R13" s="14" t="str">
        <f t="shared" si="11"/>
        <v>0</v>
      </c>
      <c r="S13" s="14" t="str">
        <f t="shared" si="11"/>
        <v>0</v>
      </c>
      <c r="T13" s="14">
        <f t="shared" si="11"/>
        <v>22.831518817204298</v>
      </c>
      <c r="U13" s="14">
        <f t="shared" si="12"/>
        <v>22.831518817204298</v>
      </c>
      <c r="V13" s="6">
        <f t="shared" si="13"/>
        <v>6</v>
      </c>
    </row>
    <row r="14" spans="1:22" x14ac:dyDescent="0.25">
      <c r="A14" s="30" t="s">
        <v>10</v>
      </c>
      <c r="B14" s="11" t="str">
        <f t="shared" si="0"/>
        <v>-</v>
      </c>
      <c r="C14" s="11" t="str">
        <f t="shared" si="1"/>
        <v>-</v>
      </c>
      <c r="D14" s="11">
        <f t="shared" si="2"/>
        <v>2.1528193104565749E-2</v>
      </c>
      <c r="E14" s="11">
        <f t="shared" si="3"/>
        <v>1.2308344449531432E-2</v>
      </c>
      <c r="F14" s="11">
        <f t="shared" si="4"/>
        <v>3.3836537554097185E-2</v>
      </c>
      <c r="G14" s="11" t="str">
        <f t="shared" si="5"/>
        <v>-</v>
      </c>
      <c r="H14" s="11" t="str">
        <f t="shared" si="6"/>
        <v>-</v>
      </c>
      <c r="I14" s="11">
        <f t="shared" si="7"/>
        <v>2.1528193104565746E-2</v>
      </c>
      <c r="J14" s="11">
        <f t="shared" si="8"/>
        <v>1.230834444953143E-2</v>
      </c>
      <c r="K14" s="11">
        <f t="shared" si="9"/>
        <v>3.3836537554097178E-2</v>
      </c>
      <c r="L14" s="13"/>
      <c r="M14" s="13"/>
      <c r="N14" s="13">
        <v>547654</v>
      </c>
      <c r="O14" s="13">
        <v>313111</v>
      </c>
      <c r="P14" s="13">
        <f t="shared" si="10"/>
        <v>860765</v>
      </c>
      <c r="Q14" s="14" t="str">
        <f t="shared" si="11"/>
        <v>0</v>
      </c>
      <c r="R14" s="14" t="str">
        <f t="shared" si="11"/>
        <v>0</v>
      </c>
      <c r="S14" s="14">
        <f t="shared" si="11"/>
        <v>846.50819892473112</v>
      </c>
      <c r="T14" s="14">
        <f t="shared" si="11"/>
        <v>483.97533602150537</v>
      </c>
      <c r="U14" s="14">
        <f t="shared" si="12"/>
        <v>1330.4835349462364</v>
      </c>
      <c r="V14" s="6">
        <f t="shared" si="13"/>
        <v>7</v>
      </c>
    </row>
    <row r="15" spans="1:22" x14ac:dyDescent="0.25">
      <c r="A15" s="30" t="s">
        <v>13</v>
      </c>
      <c r="B15" s="11" t="str">
        <f t="shared" si="0"/>
        <v>-</v>
      </c>
      <c r="C15" s="11" t="str">
        <f t="shared" si="1"/>
        <v>-</v>
      </c>
      <c r="D15" s="11">
        <f t="shared" si="2"/>
        <v>7.5786233735450487E-3</v>
      </c>
      <c r="E15" s="11">
        <f t="shared" si="3"/>
        <v>1.1122091298241602E-2</v>
      </c>
      <c r="F15" s="11">
        <f t="shared" si="4"/>
        <v>1.8700714671786651E-2</v>
      </c>
      <c r="G15" s="11" t="str">
        <f t="shared" si="5"/>
        <v>-</v>
      </c>
      <c r="H15" s="11" t="str">
        <f t="shared" si="6"/>
        <v>-</v>
      </c>
      <c r="I15" s="11">
        <f t="shared" si="7"/>
        <v>7.5786233735450469E-3</v>
      </c>
      <c r="J15" s="11">
        <f t="shared" si="8"/>
        <v>1.11220912982416E-2</v>
      </c>
      <c r="K15" s="11">
        <f t="shared" si="9"/>
        <v>1.8700714671786647E-2</v>
      </c>
      <c r="L15" s="13"/>
      <c r="M15" s="13"/>
      <c r="N15" s="13">
        <v>192792</v>
      </c>
      <c r="O15" s="13">
        <v>282934</v>
      </c>
      <c r="P15" s="13">
        <f t="shared" si="10"/>
        <v>475726</v>
      </c>
      <c r="Q15" s="14" t="str">
        <f t="shared" si="11"/>
        <v>0</v>
      </c>
      <c r="R15" s="14" t="str">
        <f t="shared" si="11"/>
        <v>0</v>
      </c>
      <c r="S15" s="14">
        <f t="shared" si="11"/>
        <v>297.99838709677414</v>
      </c>
      <c r="T15" s="14">
        <f t="shared" si="11"/>
        <v>437.33077956989246</v>
      </c>
      <c r="U15" s="14">
        <f t="shared" si="12"/>
        <v>735.32916666666665</v>
      </c>
      <c r="V15" s="6">
        <f t="shared" si="13"/>
        <v>8</v>
      </c>
    </row>
    <row r="16" spans="1:22" x14ac:dyDescent="0.25">
      <c r="A16" s="30" t="s">
        <v>14</v>
      </c>
      <c r="B16" s="11" t="str">
        <f t="shared" si="0"/>
        <v>-</v>
      </c>
      <c r="C16" s="11" t="str">
        <f t="shared" si="1"/>
        <v>-</v>
      </c>
      <c r="D16" s="11">
        <f t="shared" si="2"/>
        <v>2.5398994097187891E-2</v>
      </c>
      <c r="E16" s="11">
        <f t="shared" si="3"/>
        <v>2.7276117750314178E-2</v>
      </c>
      <c r="F16" s="11">
        <f t="shared" si="4"/>
        <v>5.2675111847502065E-2</v>
      </c>
      <c r="G16" s="11" t="str">
        <f t="shared" si="5"/>
        <v>-</v>
      </c>
      <c r="H16" s="11" t="str">
        <f t="shared" si="6"/>
        <v>-</v>
      </c>
      <c r="I16" s="11">
        <f t="shared" si="7"/>
        <v>2.5398994097187887E-2</v>
      </c>
      <c r="J16" s="11">
        <f t="shared" si="8"/>
        <v>2.7276117750314171E-2</v>
      </c>
      <c r="K16" s="11">
        <f t="shared" si="9"/>
        <v>5.2675111847502058E-2</v>
      </c>
      <c r="L16" s="13"/>
      <c r="M16" s="13"/>
      <c r="N16" s="13">
        <v>646123</v>
      </c>
      <c r="O16" s="13">
        <v>693875</v>
      </c>
      <c r="P16" s="13">
        <f t="shared" si="10"/>
        <v>1339998</v>
      </c>
      <c r="Q16" s="14" t="str">
        <f t="shared" si="11"/>
        <v>0</v>
      </c>
      <c r="R16" s="14" t="str">
        <f t="shared" si="11"/>
        <v>0</v>
      </c>
      <c r="S16" s="14">
        <f t="shared" si="11"/>
        <v>998.71162634408597</v>
      </c>
      <c r="T16" s="14">
        <f t="shared" si="11"/>
        <v>1072.5218413978494</v>
      </c>
      <c r="U16" s="14">
        <f t="shared" si="12"/>
        <v>2071.2334677419353</v>
      </c>
      <c r="V16" s="6">
        <f t="shared" si="13"/>
        <v>9</v>
      </c>
    </row>
    <row r="17" spans="1:23" x14ac:dyDescent="0.25">
      <c r="A17" s="30" t="s">
        <v>15</v>
      </c>
      <c r="B17" s="11" t="str">
        <f t="shared" si="0"/>
        <v>-</v>
      </c>
      <c r="C17" s="11" t="str">
        <f t="shared" si="1"/>
        <v>-</v>
      </c>
      <c r="D17" s="11">
        <f t="shared" si="2"/>
        <v>1.6203517545205555E-2</v>
      </c>
      <c r="E17" s="11">
        <f t="shared" si="3"/>
        <v>2.0410457010726898E-2</v>
      </c>
      <c r="F17" s="11">
        <f t="shared" si="4"/>
        <v>3.6613974555932453E-2</v>
      </c>
      <c r="G17" s="11" t="str">
        <f t="shared" si="5"/>
        <v>-</v>
      </c>
      <c r="H17" s="11" t="str">
        <f t="shared" si="6"/>
        <v>-</v>
      </c>
      <c r="I17" s="11">
        <f t="shared" si="7"/>
        <v>1.6203517545205548E-2</v>
      </c>
      <c r="J17" s="11">
        <f t="shared" si="8"/>
        <v>2.0410457010726895E-2</v>
      </c>
      <c r="K17" s="11">
        <f t="shared" si="9"/>
        <v>3.6613974555932446E-2</v>
      </c>
      <c r="L17" s="13"/>
      <c r="M17" s="13"/>
      <c r="N17" s="13">
        <v>412200</v>
      </c>
      <c r="O17" s="13">
        <v>519220</v>
      </c>
      <c r="P17" s="13">
        <f t="shared" si="10"/>
        <v>931420</v>
      </c>
      <c r="Q17" s="14" t="str">
        <f t="shared" si="11"/>
        <v>0</v>
      </c>
      <c r="R17" s="14" t="str">
        <f t="shared" si="11"/>
        <v>0</v>
      </c>
      <c r="S17" s="14">
        <f t="shared" si="11"/>
        <v>637.13709677419342</v>
      </c>
      <c r="T17" s="14">
        <f t="shared" si="11"/>
        <v>802.55779569892468</v>
      </c>
      <c r="U17" s="14">
        <f t="shared" si="12"/>
        <v>1439.6948924731182</v>
      </c>
      <c r="V17" s="6">
        <f t="shared" si="13"/>
        <v>10</v>
      </c>
    </row>
    <row r="18" spans="1:23" x14ac:dyDescent="0.25">
      <c r="A18" s="30" t="s">
        <v>47</v>
      </c>
      <c r="B18" s="11" t="str">
        <f t="shared" si="0"/>
        <v>-</v>
      </c>
      <c r="C18" s="11" t="str">
        <f t="shared" si="1"/>
        <v>-</v>
      </c>
      <c r="D18" s="11">
        <f t="shared" si="2"/>
        <v>2.424080817425147E-3</v>
      </c>
      <c r="E18" s="11">
        <f t="shared" si="3"/>
        <v>1.4185350173126822E-3</v>
      </c>
      <c r="F18" s="11">
        <f t="shared" si="4"/>
        <v>3.8426158347378294E-3</v>
      </c>
      <c r="G18" s="11" t="str">
        <f t="shared" si="5"/>
        <v>-</v>
      </c>
      <c r="H18" s="11" t="str">
        <f t="shared" si="6"/>
        <v>-</v>
      </c>
      <c r="I18" s="11">
        <f t="shared" si="7"/>
        <v>2.424080817425147E-3</v>
      </c>
      <c r="J18" s="11">
        <f t="shared" si="8"/>
        <v>1.418535017312682E-3</v>
      </c>
      <c r="K18" s="11">
        <f t="shared" si="9"/>
        <v>3.842615834737829E-3</v>
      </c>
      <c r="L18" s="13"/>
      <c r="M18" s="13"/>
      <c r="N18" s="13">
        <v>61666</v>
      </c>
      <c r="O18" s="13">
        <v>36086</v>
      </c>
      <c r="P18" s="13">
        <f t="shared" si="10"/>
        <v>97752</v>
      </c>
      <c r="Q18" s="14" t="str">
        <f t="shared" si="11"/>
        <v>0</v>
      </c>
      <c r="R18" s="14" t="str">
        <f t="shared" si="11"/>
        <v>0</v>
      </c>
      <c r="S18" s="14">
        <f t="shared" si="11"/>
        <v>95.317069892473114</v>
      </c>
      <c r="T18" s="14">
        <f t="shared" si="11"/>
        <v>55.778091397849458</v>
      </c>
      <c r="U18" s="14">
        <f t="shared" si="12"/>
        <v>151.09516129032258</v>
      </c>
      <c r="V18" s="6">
        <f t="shared" si="13"/>
        <v>11</v>
      </c>
    </row>
    <row r="19" spans="1:23" x14ac:dyDescent="0.25">
      <c r="A19" s="30" t="s">
        <v>30</v>
      </c>
      <c r="B19" s="11" t="str">
        <f t="shared" si="0"/>
        <v>-</v>
      </c>
      <c r="C19" s="11" t="str">
        <f t="shared" si="1"/>
        <v>-</v>
      </c>
      <c r="D19" s="11">
        <f t="shared" si="2"/>
        <v>1.0204049210054483E-3</v>
      </c>
      <c r="E19" s="11">
        <f t="shared" si="3"/>
        <v>6.151754669382334E-3</v>
      </c>
      <c r="F19" s="11">
        <f t="shared" si="4"/>
        <v>7.1721595903877821E-3</v>
      </c>
      <c r="G19" s="11" t="str">
        <f t="shared" si="5"/>
        <v>-</v>
      </c>
      <c r="H19" s="11" t="str">
        <f t="shared" si="6"/>
        <v>-</v>
      </c>
      <c r="I19" s="11">
        <f t="shared" si="7"/>
        <v>1.0204049210054481E-3</v>
      </c>
      <c r="J19" s="11">
        <f t="shared" si="8"/>
        <v>6.1517546693823331E-3</v>
      </c>
      <c r="K19" s="11">
        <f t="shared" si="9"/>
        <v>7.1721595903877812E-3</v>
      </c>
      <c r="L19" s="13"/>
      <c r="M19" s="13"/>
      <c r="N19" s="13">
        <v>25958</v>
      </c>
      <c r="O19" s="13">
        <v>156494</v>
      </c>
      <c r="P19" s="13">
        <f t="shared" si="10"/>
        <v>182452</v>
      </c>
      <c r="Q19" s="14" t="str">
        <f t="shared" si="11"/>
        <v>0</v>
      </c>
      <c r="R19" s="14" t="str">
        <f t="shared" si="11"/>
        <v>0</v>
      </c>
      <c r="S19" s="14">
        <f t="shared" si="11"/>
        <v>40.123252688172037</v>
      </c>
      <c r="T19" s="14">
        <f t="shared" si="11"/>
        <v>241.8926075268817</v>
      </c>
      <c r="U19" s="14">
        <f t="shared" si="12"/>
        <v>282.01586021505375</v>
      </c>
      <c r="V19" s="6">
        <f t="shared" si="13"/>
        <v>12</v>
      </c>
    </row>
    <row r="20" spans="1:23" x14ac:dyDescent="0.25">
      <c r="A20" s="30" t="s">
        <v>17</v>
      </c>
      <c r="B20" s="11" t="str">
        <f t="shared" si="0"/>
        <v>-</v>
      </c>
      <c r="C20" s="11" t="str">
        <f t="shared" si="1"/>
        <v>-</v>
      </c>
      <c r="D20" s="11">
        <f t="shared" si="2"/>
        <v>7.0298972662827383E-3</v>
      </c>
      <c r="E20" s="11">
        <f t="shared" si="3"/>
        <v>1.5832589860691824E-2</v>
      </c>
      <c r="F20" s="11">
        <f t="shared" si="4"/>
        <v>2.2862487126974564E-2</v>
      </c>
      <c r="G20" s="11" t="str">
        <f t="shared" si="5"/>
        <v>-</v>
      </c>
      <c r="H20" s="11" t="str">
        <f t="shared" si="6"/>
        <v>-</v>
      </c>
      <c r="I20" s="11">
        <f t="shared" si="7"/>
        <v>7.0298972662827374E-3</v>
      </c>
      <c r="J20" s="11">
        <f t="shared" si="8"/>
        <v>1.5832589860691821E-2</v>
      </c>
      <c r="K20" s="11">
        <f t="shared" si="9"/>
        <v>2.2862487126974557E-2</v>
      </c>
      <c r="L20" s="13"/>
      <c r="M20" s="13"/>
      <c r="N20" s="13">
        <v>178833</v>
      </c>
      <c r="O20" s="13">
        <v>402764</v>
      </c>
      <c r="P20" s="13">
        <f t="shared" si="10"/>
        <v>581597</v>
      </c>
      <c r="Q20" s="14" t="str">
        <f t="shared" si="11"/>
        <v>0</v>
      </c>
      <c r="R20" s="14" t="str">
        <f t="shared" si="11"/>
        <v>0</v>
      </c>
      <c r="S20" s="14">
        <f t="shared" si="11"/>
        <v>276.4219758064516</v>
      </c>
      <c r="T20" s="14">
        <f t="shared" si="11"/>
        <v>622.55188172043006</v>
      </c>
      <c r="U20" s="14">
        <f t="shared" si="12"/>
        <v>898.9738575268816</v>
      </c>
      <c r="V20" s="6">
        <f t="shared" si="13"/>
        <v>13</v>
      </c>
    </row>
    <row r="21" spans="1:23" x14ac:dyDescent="0.25">
      <c r="A21" s="30" t="s">
        <v>18</v>
      </c>
      <c r="B21" s="11" t="str">
        <f t="shared" si="0"/>
        <v>-</v>
      </c>
      <c r="C21" s="11" t="str">
        <f t="shared" si="1"/>
        <v>-</v>
      </c>
      <c r="D21" s="11">
        <f t="shared" si="2"/>
        <v>3.0937633135438319E-2</v>
      </c>
      <c r="E21" s="11">
        <f t="shared" si="3"/>
        <v>5.3678377676683858E-3</v>
      </c>
      <c r="F21" s="11">
        <f t="shared" si="4"/>
        <v>3.6305470903106707E-2</v>
      </c>
      <c r="G21" s="11" t="str">
        <f t="shared" si="5"/>
        <v>-</v>
      </c>
      <c r="H21" s="11" t="str">
        <f t="shared" si="6"/>
        <v>-</v>
      </c>
      <c r="I21" s="11">
        <f t="shared" si="7"/>
        <v>3.0937633135438312E-2</v>
      </c>
      <c r="J21" s="11">
        <f t="shared" si="8"/>
        <v>5.3678377676683849E-3</v>
      </c>
      <c r="K21" s="11">
        <f t="shared" si="9"/>
        <v>3.63054709031067E-2</v>
      </c>
      <c r="L21" s="13"/>
      <c r="M21" s="13"/>
      <c r="N21" s="13">
        <v>787020</v>
      </c>
      <c r="O21" s="13">
        <v>136552</v>
      </c>
      <c r="P21" s="13">
        <f t="shared" si="10"/>
        <v>923572</v>
      </c>
      <c r="Q21" s="14" t="str">
        <f t="shared" si="11"/>
        <v>0</v>
      </c>
      <c r="R21" s="14" t="str">
        <f t="shared" si="11"/>
        <v>0</v>
      </c>
      <c r="S21" s="14">
        <f t="shared" si="11"/>
        <v>1216.4959677419354</v>
      </c>
      <c r="T21" s="14">
        <f t="shared" si="11"/>
        <v>211.06827956989244</v>
      </c>
      <c r="U21" s="14">
        <f t="shared" si="12"/>
        <v>1427.5642473118278</v>
      </c>
      <c r="V21" s="6">
        <f t="shared" si="13"/>
        <v>14</v>
      </c>
      <c r="W21" s="31"/>
    </row>
    <row r="22" spans="1:23" x14ac:dyDescent="0.25">
      <c r="A22" s="30" t="s">
        <v>19</v>
      </c>
      <c r="B22" s="11" t="str">
        <f t="shared" si="0"/>
        <v>-</v>
      </c>
      <c r="C22" s="11" t="str">
        <f t="shared" si="1"/>
        <v>-</v>
      </c>
      <c r="D22" s="11">
        <f t="shared" si="2"/>
        <v>4.2854805330985422E-3</v>
      </c>
      <c r="E22" s="11">
        <f t="shared" si="3"/>
        <v>3.7809779999224916E-3</v>
      </c>
      <c r="F22" s="11">
        <f t="shared" si="4"/>
        <v>8.0664585330210339E-3</v>
      </c>
      <c r="G22" s="11" t="str">
        <f t="shared" si="5"/>
        <v>-</v>
      </c>
      <c r="H22" s="11" t="str">
        <f t="shared" si="6"/>
        <v>-</v>
      </c>
      <c r="I22" s="11">
        <f t="shared" si="7"/>
        <v>4.2854805330985414E-3</v>
      </c>
      <c r="J22" s="11">
        <f t="shared" si="8"/>
        <v>3.7809779999224908E-3</v>
      </c>
      <c r="K22" s="11">
        <f t="shared" si="9"/>
        <v>8.0664585330210339E-3</v>
      </c>
      <c r="L22" s="13"/>
      <c r="M22" s="13"/>
      <c r="N22" s="13">
        <v>109018</v>
      </c>
      <c r="O22" s="13">
        <v>96184</v>
      </c>
      <c r="P22" s="13">
        <f t="shared" si="10"/>
        <v>205202</v>
      </c>
      <c r="Q22" s="14" t="str">
        <f t="shared" si="11"/>
        <v>0</v>
      </c>
      <c r="R22" s="14" t="str">
        <f t="shared" si="11"/>
        <v>0</v>
      </c>
      <c r="S22" s="14">
        <f t="shared" si="11"/>
        <v>168.50900537634408</v>
      </c>
      <c r="T22" s="14">
        <f t="shared" si="11"/>
        <v>148.67150537634407</v>
      </c>
      <c r="U22" s="14">
        <f t="shared" si="12"/>
        <v>317.18051075268818</v>
      </c>
      <c r="V22" s="6">
        <f t="shared" si="13"/>
        <v>15</v>
      </c>
    </row>
    <row r="23" spans="1:23" x14ac:dyDescent="0.25">
      <c r="A23" s="30" t="s">
        <v>20</v>
      </c>
      <c r="B23" s="11" t="str">
        <f t="shared" si="0"/>
        <v>-</v>
      </c>
      <c r="C23" s="11" t="str">
        <f t="shared" si="1"/>
        <v>-</v>
      </c>
      <c r="D23" s="11">
        <f t="shared" si="2"/>
        <v>8.960639546123389E-3</v>
      </c>
      <c r="E23" s="11" t="str">
        <f t="shared" si="3"/>
        <v>-</v>
      </c>
      <c r="F23" s="11">
        <f t="shared" si="4"/>
        <v>8.960639546123389E-3</v>
      </c>
      <c r="G23" s="11" t="str">
        <f t="shared" si="5"/>
        <v>-</v>
      </c>
      <c r="H23" s="11" t="str">
        <f t="shared" si="6"/>
        <v>-</v>
      </c>
      <c r="I23" s="11">
        <f t="shared" si="7"/>
        <v>8.9606395461233872E-3</v>
      </c>
      <c r="J23" s="11" t="str">
        <f t="shared" si="8"/>
        <v>-</v>
      </c>
      <c r="K23" s="11">
        <f t="shared" si="9"/>
        <v>8.9606395461233872E-3</v>
      </c>
      <c r="L23" s="13"/>
      <c r="M23" s="13"/>
      <c r="N23" s="13">
        <v>227949</v>
      </c>
      <c r="O23" s="13"/>
      <c r="P23" s="13">
        <f t="shared" si="10"/>
        <v>227949</v>
      </c>
      <c r="Q23" s="14" t="str">
        <f t="shared" si="11"/>
        <v>0</v>
      </c>
      <c r="R23" s="14" t="str">
        <f t="shared" si="11"/>
        <v>0</v>
      </c>
      <c r="S23" s="14">
        <f t="shared" si="11"/>
        <v>352.34052419354833</v>
      </c>
      <c r="T23" s="14" t="str">
        <f t="shared" si="11"/>
        <v>0</v>
      </c>
      <c r="U23" s="14">
        <f t="shared" si="12"/>
        <v>352.34052419354833</v>
      </c>
      <c r="V23" s="6">
        <f t="shared" si="13"/>
        <v>16</v>
      </c>
    </row>
    <row r="24" spans="1:23" x14ac:dyDescent="0.25">
      <c r="A24" s="30" t="s">
        <v>21</v>
      </c>
      <c r="B24" s="11">
        <f t="shared" si="0"/>
        <v>2.7014589360628945E-2</v>
      </c>
      <c r="C24" s="11" t="str">
        <f t="shared" si="1"/>
        <v>-</v>
      </c>
      <c r="D24" s="11">
        <f t="shared" si="2"/>
        <v>5.293243408391865E-2</v>
      </c>
      <c r="E24" s="11">
        <f t="shared" si="3"/>
        <v>1.068013072628443E-2</v>
      </c>
      <c r="F24" s="11">
        <f t="shared" si="4"/>
        <v>9.0627154170832031E-2</v>
      </c>
      <c r="G24" s="11">
        <f t="shared" si="5"/>
        <v>2.7014589360628938E-2</v>
      </c>
      <c r="H24" s="11" t="str">
        <f t="shared" si="6"/>
        <v>-</v>
      </c>
      <c r="I24" s="11">
        <f t="shared" si="7"/>
        <v>5.2932434083918636E-2</v>
      </c>
      <c r="J24" s="11">
        <f t="shared" si="8"/>
        <v>1.0680130726284428E-2</v>
      </c>
      <c r="K24" s="11">
        <f t="shared" si="9"/>
        <v>9.0627154170832017E-2</v>
      </c>
      <c r="L24" s="13">
        <v>687222</v>
      </c>
      <c r="M24" s="13"/>
      <c r="N24" s="13">
        <v>1346544</v>
      </c>
      <c r="O24" s="13">
        <v>271691</v>
      </c>
      <c r="P24" s="13">
        <f t="shared" si="10"/>
        <v>2305457</v>
      </c>
      <c r="Q24" s="14">
        <f t="shared" si="11"/>
        <v>1062.2383064516127</v>
      </c>
      <c r="R24" s="14" t="str">
        <f t="shared" si="11"/>
        <v>0</v>
      </c>
      <c r="S24" s="14">
        <f t="shared" si="11"/>
        <v>2081.3516129032255</v>
      </c>
      <c r="T24" s="14">
        <f t="shared" si="11"/>
        <v>419.95248655913974</v>
      </c>
      <c r="U24" s="14">
        <f t="shared" si="12"/>
        <v>3563.5424059139782</v>
      </c>
      <c r="V24" s="6">
        <f t="shared" si="13"/>
        <v>17</v>
      </c>
    </row>
    <row r="25" spans="1:23" x14ac:dyDescent="0.25">
      <c r="A25" s="30" t="s">
        <v>22</v>
      </c>
      <c r="B25" s="11" t="str">
        <f t="shared" si="0"/>
        <v>-</v>
      </c>
      <c r="C25" s="11" t="str">
        <f t="shared" si="1"/>
        <v>-</v>
      </c>
      <c r="D25" s="11">
        <f t="shared" si="2"/>
        <v>6.9162525083419591E-3</v>
      </c>
      <c r="E25" s="11">
        <f t="shared" si="3"/>
        <v>1.2414048619058501E-2</v>
      </c>
      <c r="F25" s="11">
        <f t="shared" si="4"/>
        <v>1.9330301127400459E-2</v>
      </c>
      <c r="G25" s="11" t="str">
        <f t="shared" si="5"/>
        <v>-</v>
      </c>
      <c r="H25" s="11" t="str">
        <f t="shared" si="6"/>
        <v>-</v>
      </c>
      <c r="I25" s="11">
        <f t="shared" si="7"/>
        <v>6.9162525083419583E-3</v>
      </c>
      <c r="J25" s="11">
        <f t="shared" si="8"/>
        <v>1.2414048619058498E-2</v>
      </c>
      <c r="K25" s="11">
        <f t="shared" si="9"/>
        <v>1.9330301127400459E-2</v>
      </c>
      <c r="L25" s="13"/>
      <c r="M25" s="13"/>
      <c r="N25" s="13">
        <v>175942</v>
      </c>
      <c r="O25" s="13">
        <v>315800</v>
      </c>
      <c r="P25" s="13">
        <f t="shared" si="10"/>
        <v>491742</v>
      </c>
      <c r="Q25" s="14" t="str">
        <f t="shared" si="11"/>
        <v>0</v>
      </c>
      <c r="R25" s="14" t="str">
        <f t="shared" si="11"/>
        <v>0</v>
      </c>
      <c r="S25" s="14">
        <f t="shared" si="11"/>
        <v>271.95336021505375</v>
      </c>
      <c r="T25" s="14">
        <f t="shared" si="11"/>
        <v>488.13172043010746</v>
      </c>
      <c r="U25" s="14">
        <f t="shared" si="12"/>
        <v>760.08508064516127</v>
      </c>
      <c r="V25" s="6">
        <f t="shared" si="13"/>
        <v>18</v>
      </c>
    </row>
    <row r="26" spans="1:23" x14ac:dyDescent="0.25">
      <c r="A26" s="30" t="s">
        <v>24</v>
      </c>
      <c r="B26" s="11">
        <f t="shared" si="0"/>
        <v>1.4426201585061501E-2</v>
      </c>
      <c r="C26" s="11" t="str">
        <f t="shared" si="1"/>
        <v>-</v>
      </c>
      <c r="D26" s="11">
        <f t="shared" si="2"/>
        <v>3.7544477864550986E-2</v>
      </c>
      <c r="E26" s="11">
        <f t="shared" si="3"/>
        <v>8.6919567648970908E-3</v>
      </c>
      <c r="F26" s="11">
        <f t="shared" si="4"/>
        <v>6.0662636214509583E-2</v>
      </c>
      <c r="G26" s="11">
        <f t="shared" si="5"/>
        <v>1.4426201585061497E-2</v>
      </c>
      <c r="H26" s="11" t="str">
        <f t="shared" si="6"/>
        <v>-</v>
      </c>
      <c r="I26" s="11">
        <f t="shared" si="7"/>
        <v>3.7544477864550986E-2</v>
      </c>
      <c r="J26" s="11">
        <f t="shared" si="8"/>
        <v>8.6919567648970891E-3</v>
      </c>
      <c r="K26" s="11">
        <f t="shared" si="9"/>
        <v>6.0662636214509576E-2</v>
      </c>
      <c r="L26" s="13">
        <v>366987</v>
      </c>
      <c r="M26" s="13"/>
      <c r="N26" s="13">
        <v>955091</v>
      </c>
      <c r="O26" s="13">
        <v>221114</v>
      </c>
      <c r="P26" s="13">
        <f>SUM(L26:O26)</f>
        <v>1543192</v>
      </c>
      <c r="Q26" s="14">
        <f t="shared" si="11"/>
        <v>567.25141129032249</v>
      </c>
      <c r="R26" s="14" t="str">
        <f t="shared" si="11"/>
        <v>0</v>
      </c>
      <c r="S26" s="14">
        <f t="shared" si="11"/>
        <v>1476.28313172043</v>
      </c>
      <c r="T26" s="14">
        <f t="shared" si="11"/>
        <v>341.77567204301073</v>
      </c>
      <c r="U26" s="14">
        <f t="shared" si="12"/>
        <v>2385.3102150537634</v>
      </c>
      <c r="V26" s="6">
        <f t="shared" si="13"/>
        <v>19</v>
      </c>
    </row>
    <row r="27" spans="1:23" x14ac:dyDescent="0.25">
      <c r="A27" s="30" t="s">
        <v>56</v>
      </c>
      <c r="B27" s="11">
        <f t="shared" si="0"/>
        <v>1.0614286738200444E-2</v>
      </c>
      <c r="C27" s="11" t="str">
        <f t="shared" si="1"/>
        <v>-</v>
      </c>
      <c r="D27" s="11">
        <f t="shared" si="2"/>
        <v>4.6678237962030723E-2</v>
      </c>
      <c r="E27" s="11">
        <f t="shared" si="3"/>
        <v>3.9326353766556384E-3</v>
      </c>
      <c r="F27" s="11">
        <f t="shared" si="4"/>
        <v>6.1225160076886803E-2</v>
      </c>
      <c r="G27" s="11">
        <f t="shared" si="5"/>
        <v>1.0614286738200442E-2</v>
      </c>
      <c r="H27" s="11" t="str">
        <f t="shared" si="6"/>
        <v>-</v>
      </c>
      <c r="I27" s="11">
        <f t="shared" si="7"/>
        <v>4.6678237962030709E-2</v>
      </c>
      <c r="J27" s="11">
        <f t="shared" si="8"/>
        <v>3.9326353766556375E-3</v>
      </c>
      <c r="K27" s="11">
        <f t="shared" si="9"/>
        <v>6.1225160076886789E-2</v>
      </c>
      <c r="L27" s="13">
        <v>270016</v>
      </c>
      <c r="M27" s="13"/>
      <c r="N27" s="13">
        <v>1187444</v>
      </c>
      <c r="O27" s="13">
        <v>100042</v>
      </c>
      <c r="P27" s="13">
        <f t="shared" si="10"/>
        <v>1557502</v>
      </c>
      <c r="Q27" s="14">
        <f t="shared" si="11"/>
        <v>417.36344086021501</v>
      </c>
      <c r="R27" s="14" t="str">
        <f t="shared" si="11"/>
        <v>0</v>
      </c>
      <c r="S27" s="14">
        <f t="shared" si="11"/>
        <v>1835.4309139784943</v>
      </c>
      <c r="T27" s="14">
        <f t="shared" si="11"/>
        <v>154.63481182795698</v>
      </c>
      <c r="U27" s="14">
        <f t="shared" si="12"/>
        <v>2407.4291666666663</v>
      </c>
      <c r="V27" s="6">
        <f t="shared" si="13"/>
        <v>20</v>
      </c>
    </row>
    <row r="28" spans="1:23" x14ac:dyDescent="0.25">
      <c r="A28" s="30" t="s">
        <v>25</v>
      </c>
      <c r="B28" s="11" t="str">
        <f t="shared" si="0"/>
        <v>-</v>
      </c>
      <c r="C28" s="11" t="str">
        <f t="shared" si="1"/>
        <v>-</v>
      </c>
      <c r="D28" s="11">
        <f t="shared" si="2"/>
        <v>8.8057980720560314E-3</v>
      </c>
      <c r="E28" s="11">
        <f t="shared" si="3"/>
        <v>6.8165627448906214E-3</v>
      </c>
      <c r="F28" s="11">
        <f t="shared" si="4"/>
        <v>1.5622360816946653E-2</v>
      </c>
      <c r="G28" s="11" t="str">
        <f t="shared" si="5"/>
        <v>-</v>
      </c>
      <c r="H28" s="11" t="str">
        <f t="shared" si="6"/>
        <v>-</v>
      </c>
      <c r="I28" s="11">
        <f t="shared" si="7"/>
        <v>8.8057980720560296E-3</v>
      </c>
      <c r="J28" s="11">
        <f t="shared" si="8"/>
        <v>6.8165627448906205E-3</v>
      </c>
      <c r="K28" s="11">
        <f t="shared" si="9"/>
        <v>1.5622360816946651E-2</v>
      </c>
      <c r="L28" s="13"/>
      <c r="M28" s="13"/>
      <c r="N28" s="13">
        <v>224010</v>
      </c>
      <c r="O28" s="13">
        <v>173406</v>
      </c>
      <c r="P28" s="13">
        <f t="shared" si="10"/>
        <v>397416</v>
      </c>
      <c r="Q28" s="14" t="str">
        <f t="shared" si="11"/>
        <v>0</v>
      </c>
      <c r="R28" s="14" t="str">
        <f t="shared" si="11"/>
        <v>0</v>
      </c>
      <c r="S28" s="14">
        <f t="shared" si="11"/>
        <v>346.2520161290322</v>
      </c>
      <c r="T28" s="14">
        <f t="shared" si="11"/>
        <v>268.03346774193545</v>
      </c>
      <c r="U28" s="14">
        <f t="shared" si="12"/>
        <v>614.28548387096771</v>
      </c>
      <c r="V28" s="6">
        <f t="shared" si="13"/>
        <v>21</v>
      </c>
    </row>
    <row r="29" spans="1:23" x14ac:dyDescent="0.25">
      <c r="A29" s="30" t="s">
        <v>31</v>
      </c>
      <c r="B29" s="11">
        <f t="shared" si="0"/>
        <v>7.2597419220003919E-3</v>
      </c>
      <c r="C29" s="11" t="str">
        <f t="shared" si="1"/>
        <v>-</v>
      </c>
      <c r="D29" s="11">
        <f t="shared" si="2"/>
        <v>2.5263217897282163E-2</v>
      </c>
      <c r="E29" s="11">
        <f t="shared" si="3"/>
        <v>2.7533833085167082E-2</v>
      </c>
      <c r="F29" s="11">
        <f t="shared" si="4"/>
        <v>6.0056792904449638E-2</v>
      </c>
      <c r="G29" s="11">
        <f t="shared" si="5"/>
        <v>7.2597419220003911E-3</v>
      </c>
      <c r="H29" s="11" t="str">
        <f t="shared" si="6"/>
        <v>-</v>
      </c>
      <c r="I29" s="11">
        <f t="shared" si="7"/>
        <v>2.5263217897282159E-2</v>
      </c>
      <c r="J29" s="11">
        <f t="shared" si="8"/>
        <v>2.7533833085167079E-2</v>
      </c>
      <c r="K29" s="11">
        <f t="shared" si="9"/>
        <v>6.0056792904449617E-2</v>
      </c>
      <c r="L29" s="13">
        <v>184680</v>
      </c>
      <c r="M29" s="13"/>
      <c r="N29" s="13">
        <v>642669</v>
      </c>
      <c r="O29" s="13">
        <v>700431</v>
      </c>
      <c r="P29" s="13">
        <f t="shared" si="10"/>
        <v>1527780</v>
      </c>
      <c r="Q29" s="14">
        <f t="shared" si="11"/>
        <v>285.45967741935482</v>
      </c>
      <c r="R29" s="14" t="str">
        <f t="shared" si="11"/>
        <v>0</v>
      </c>
      <c r="S29" s="14">
        <f t="shared" si="11"/>
        <v>993.37278225806438</v>
      </c>
      <c r="T29" s="14">
        <f t="shared" si="11"/>
        <v>1082.655443548387</v>
      </c>
      <c r="U29" s="14">
        <f t="shared" si="12"/>
        <v>2361.4879032258059</v>
      </c>
      <c r="V29" s="6">
        <f t="shared" si="13"/>
        <v>22</v>
      </c>
    </row>
    <row r="30" spans="1:23" x14ac:dyDescent="0.25">
      <c r="A30" s="30" t="s">
        <v>26</v>
      </c>
      <c r="B30" s="11" t="str">
        <f t="shared" si="0"/>
        <v>-</v>
      </c>
      <c r="C30" s="11" t="str">
        <f t="shared" si="1"/>
        <v>-</v>
      </c>
      <c r="D30" s="11">
        <f t="shared" si="2"/>
        <v>3.6611615965314516E-2</v>
      </c>
      <c r="E30" s="11">
        <f t="shared" si="3"/>
        <v>1.7415990362198083E-2</v>
      </c>
      <c r="F30" s="11">
        <f t="shared" si="4"/>
        <v>5.4027606327512599E-2</v>
      </c>
      <c r="G30" s="11" t="str">
        <f t="shared" si="5"/>
        <v>-</v>
      </c>
      <c r="H30" s="11" t="str">
        <f t="shared" si="6"/>
        <v>-</v>
      </c>
      <c r="I30" s="11">
        <f t="shared" si="7"/>
        <v>3.6611615965314516E-2</v>
      </c>
      <c r="J30" s="11">
        <f t="shared" si="8"/>
        <v>1.741599036219808E-2</v>
      </c>
      <c r="K30" s="11">
        <f t="shared" si="9"/>
        <v>5.4027606327512599E-2</v>
      </c>
      <c r="L30" s="13"/>
      <c r="M30" s="13"/>
      <c r="N30" s="13">
        <v>931360</v>
      </c>
      <c r="O30" s="13">
        <v>443044</v>
      </c>
      <c r="P30" s="13">
        <f t="shared" si="10"/>
        <v>1374404</v>
      </c>
      <c r="Q30" s="14" t="str">
        <f t="shared" si="11"/>
        <v>0</v>
      </c>
      <c r="R30" s="14" t="str">
        <f t="shared" si="11"/>
        <v>0</v>
      </c>
      <c r="S30" s="14">
        <f t="shared" si="11"/>
        <v>1439.6021505376343</v>
      </c>
      <c r="T30" s="14">
        <f t="shared" si="11"/>
        <v>684.81263440860209</v>
      </c>
      <c r="U30" s="14">
        <f t="shared" si="12"/>
        <v>2124.4147849462365</v>
      </c>
      <c r="V30" s="6">
        <f t="shared" si="13"/>
        <v>23</v>
      </c>
    </row>
    <row r="31" spans="1:23" x14ac:dyDescent="0.25">
      <c r="A31" s="30" t="s">
        <v>27</v>
      </c>
      <c r="B31" s="11" t="str">
        <f t="shared" si="0"/>
        <v>-</v>
      </c>
      <c r="C31" s="11" t="str">
        <f t="shared" si="1"/>
        <v>-</v>
      </c>
      <c r="D31" s="11">
        <f t="shared" si="2"/>
        <v>2.3766338361610444E-3</v>
      </c>
      <c r="E31" s="11">
        <f t="shared" si="3"/>
        <v>9.1573460036590715E-3</v>
      </c>
      <c r="F31" s="11">
        <f t="shared" si="4"/>
        <v>1.1533979839820116E-2</v>
      </c>
      <c r="G31" s="11" t="str">
        <f t="shared" si="5"/>
        <v>-</v>
      </c>
      <c r="H31" s="11" t="str">
        <f t="shared" si="6"/>
        <v>-</v>
      </c>
      <c r="I31" s="11">
        <f t="shared" si="7"/>
        <v>2.3766338361610444E-3</v>
      </c>
      <c r="J31" s="11">
        <f t="shared" si="8"/>
        <v>9.1573460036590715E-3</v>
      </c>
      <c r="K31" s="11">
        <f t="shared" si="9"/>
        <v>1.1533979839820116E-2</v>
      </c>
      <c r="L31" s="13"/>
      <c r="M31" s="13"/>
      <c r="N31" s="13">
        <v>60459</v>
      </c>
      <c r="O31" s="13">
        <v>232953</v>
      </c>
      <c r="P31" s="13">
        <f t="shared" si="10"/>
        <v>293412</v>
      </c>
      <c r="Q31" s="14" t="str">
        <f t="shared" si="11"/>
        <v>0</v>
      </c>
      <c r="R31" s="14" t="str">
        <f t="shared" si="11"/>
        <v>0</v>
      </c>
      <c r="S31" s="14">
        <f t="shared" si="11"/>
        <v>93.451411290322582</v>
      </c>
      <c r="T31" s="14">
        <f t="shared" si="11"/>
        <v>360.07520161290324</v>
      </c>
      <c r="U31" s="14">
        <f t="shared" si="12"/>
        <v>453.52661290322584</v>
      </c>
      <c r="V31" s="6">
        <f t="shared" si="13"/>
        <v>24</v>
      </c>
    </row>
    <row r="32" spans="1:23" x14ac:dyDescent="0.25">
      <c r="A32" s="30" t="s">
        <v>32</v>
      </c>
      <c r="B32" s="11" t="str">
        <f t="shared" si="0"/>
        <v>-</v>
      </c>
      <c r="C32" s="11" t="str">
        <f t="shared" si="1"/>
        <v>-</v>
      </c>
      <c r="D32" s="11">
        <f t="shared" si="2"/>
        <v>5.2757741138817014E-3</v>
      </c>
      <c r="E32" s="11">
        <f t="shared" si="3"/>
        <v>4.4810470051688906E-3</v>
      </c>
      <c r="F32" s="11">
        <f t="shared" si="4"/>
        <v>9.7568211190505929E-3</v>
      </c>
      <c r="G32" s="11" t="str">
        <f t="shared" si="5"/>
        <v>-</v>
      </c>
      <c r="H32" s="11" t="str">
        <f t="shared" si="6"/>
        <v>-</v>
      </c>
      <c r="I32" s="11">
        <f t="shared" si="7"/>
        <v>5.2757741138817005E-3</v>
      </c>
      <c r="J32" s="11">
        <f t="shared" si="8"/>
        <v>4.4810470051688898E-3</v>
      </c>
      <c r="K32" s="11">
        <f t="shared" si="9"/>
        <v>9.7568211190505894E-3</v>
      </c>
      <c r="L32" s="13"/>
      <c r="M32" s="13"/>
      <c r="N32" s="13">
        <v>134210</v>
      </c>
      <c r="O32" s="13">
        <v>113993</v>
      </c>
      <c r="P32" s="13">
        <f t="shared" si="10"/>
        <v>248203</v>
      </c>
      <c r="Q32" s="14" t="str">
        <f t="shared" si="11"/>
        <v>0</v>
      </c>
      <c r="R32" s="14" t="str">
        <f t="shared" si="11"/>
        <v>0</v>
      </c>
      <c r="S32" s="14">
        <f t="shared" si="11"/>
        <v>207.448252688172</v>
      </c>
      <c r="T32" s="14">
        <f t="shared" si="11"/>
        <v>176.19885752688171</v>
      </c>
      <c r="U32" s="14">
        <f t="shared" si="12"/>
        <v>383.64711021505371</v>
      </c>
      <c r="V32" s="6">
        <f t="shared" si="13"/>
        <v>25</v>
      </c>
    </row>
    <row r="33" spans="1:257" x14ac:dyDescent="0.25">
      <c r="A33" s="30" t="s">
        <v>28</v>
      </c>
      <c r="B33" s="11" t="str">
        <f t="shared" si="0"/>
        <v>-</v>
      </c>
      <c r="C33" s="11" t="str">
        <f t="shared" si="1"/>
        <v>-</v>
      </c>
      <c r="D33" s="11">
        <f t="shared" si="2"/>
        <v>1.2847989982914696E-2</v>
      </c>
      <c r="E33" s="11">
        <f t="shared" si="3"/>
        <v>2.0572334946804424E-2</v>
      </c>
      <c r="F33" s="11">
        <f t="shared" si="4"/>
        <v>3.3420324929719122E-2</v>
      </c>
      <c r="G33" s="11" t="str">
        <f t="shared" si="5"/>
        <v>-</v>
      </c>
      <c r="H33" s="11" t="str">
        <f t="shared" si="6"/>
        <v>-</v>
      </c>
      <c r="I33" s="11">
        <f t="shared" si="7"/>
        <v>1.2847989982914695E-2</v>
      </c>
      <c r="J33" s="11">
        <f t="shared" si="8"/>
        <v>2.0572334946804421E-2</v>
      </c>
      <c r="K33" s="11">
        <f t="shared" si="9"/>
        <v>3.3420324929719115E-2</v>
      </c>
      <c r="L33" s="13"/>
      <c r="M33" s="13"/>
      <c r="N33" s="13">
        <v>326839</v>
      </c>
      <c r="O33" s="13">
        <v>523338</v>
      </c>
      <c r="P33" s="13">
        <f t="shared" si="10"/>
        <v>850177</v>
      </c>
      <c r="Q33" s="14" t="str">
        <f t="shared" si="11"/>
        <v>0</v>
      </c>
      <c r="R33" s="14" t="str">
        <f t="shared" si="11"/>
        <v>0</v>
      </c>
      <c r="S33" s="14">
        <f t="shared" si="11"/>
        <v>505.19469086021502</v>
      </c>
      <c r="T33" s="14">
        <f t="shared" si="11"/>
        <v>808.92298387096764</v>
      </c>
      <c r="U33" s="14">
        <f t="shared" si="12"/>
        <v>1314.1176747311827</v>
      </c>
      <c r="V33" s="6">
        <f t="shared" si="13"/>
        <v>26</v>
      </c>
    </row>
    <row r="34" spans="1:257" x14ac:dyDescent="0.25">
      <c r="A34" s="32" t="s">
        <v>0</v>
      </c>
      <c r="B34" s="11">
        <f t="shared" ref="B34:O34" si="14">SUM(B8:B33)</f>
        <v>8.1935511884683995E-2</v>
      </c>
      <c r="C34" s="11">
        <f t="shared" si="14"/>
        <v>0</v>
      </c>
      <c r="D34" s="11">
        <f t="shared" si="14"/>
        <v>0.56289435765345697</v>
      </c>
      <c r="E34" s="11">
        <f t="shared" si="14"/>
        <v>0.35517013046185897</v>
      </c>
      <c r="F34" s="11">
        <f t="shared" si="14"/>
        <v>1.0000000000000002</v>
      </c>
      <c r="G34" s="11">
        <f t="shared" si="14"/>
        <v>8.1935511884683981E-2</v>
      </c>
      <c r="H34" s="11">
        <f t="shared" si="14"/>
        <v>0</v>
      </c>
      <c r="I34" s="11">
        <f t="shared" si="14"/>
        <v>0.56289435765345686</v>
      </c>
      <c r="J34" s="11">
        <f t="shared" si="14"/>
        <v>0.35517013046185891</v>
      </c>
      <c r="K34" s="11">
        <f t="shared" si="14"/>
        <v>1</v>
      </c>
      <c r="L34" s="13">
        <f t="shared" si="14"/>
        <v>2084351</v>
      </c>
      <c r="M34" s="13">
        <f t="shared" si="14"/>
        <v>0</v>
      </c>
      <c r="N34" s="13">
        <f t="shared" si="14"/>
        <v>14319425</v>
      </c>
      <c r="O34" s="13">
        <f t="shared" si="14"/>
        <v>9035144.8300000001</v>
      </c>
      <c r="P34" s="13">
        <f>SUM(L34:O34)</f>
        <v>25438920.829999998</v>
      </c>
      <c r="Q34" s="14">
        <f t="shared" si="11"/>
        <v>3221.7790994623651</v>
      </c>
      <c r="R34" s="14" t="str">
        <f t="shared" si="11"/>
        <v>0</v>
      </c>
      <c r="S34" s="14">
        <f t="shared" si="11"/>
        <v>22133.519825268817</v>
      </c>
      <c r="T34" s="14">
        <f t="shared" si="11"/>
        <v>13965.613648521503</v>
      </c>
      <c r="U34" s="14">
        <f t="shared" si="12"/>
        <v>39320.912573252688</v>
      </c>
    </row>
    <row r="35" spans="1:257" x14ac:dyDescent="0.25">
      <c r="Q35" s="14" t="str">
        <f t="shared" si="11"/>
        <v>0</v>
      </c>
      <c r="R35" s="14" t="str">
        <f t="shared" si="11"/>
        <v>0</v>
      </c>
      <c r="S35" s="14" t="str">
        <f t="shared" si="11"/>
        <v>0</v>
      </c>
      <c r="T35" s="14" t="str">
        <f t="shared" si="11"/>
        <v>0</v>
      </c>
      <c r="U35" s="14">
        <f t="shared" si="12"/>
        <v>0</v>
      </c>
    </row>
    <row r="36" spans="1:257" x14ac:dyDescent="0.25">
      <c r="A36" s="26" t="s">
        <v>46</v>
      </c>
      <c r="B36" s="2" t="s">
        <v>78</v>
      </c>
      <c r="Q36" s="6"/>
      <c r="R36" s="6"/>
      <c r="S36" s="6"/>
      <c r="T36" s="6"/>
      <c r="U36" s="6"/>
    </row>
    <row r="37" spans="1:257" x14ac:dyDescent="0.25">
      <c r="A37" s="26"/>
      <c r="B37" s="2" t="s">
        <v>79</v>
      </c>
      <c r="P37" s="31"/>
      <c r="Q37" s="6"/>
      <c r="R37" s="6"/>
      <c r="S37" s="6"/>
      <c r="T37" s="6"/>
      <c r="U37" s="6"/>
    </row>
    <row r="38" spans="1:257" x14ac:dyDescent="0.25">
      <c r="B38" s="6" t="s">
        <v>80</v>
      </c>
      <c r="Q38" s="6"/>
      <c r="R38" s="6"/>
      <c r="S38" s="6"/>
      <c r="T38" s="6"/>
      <c r="U38" s="6"/>
    </row>
    <row r="39" spans="1:257" s="2" customFormat="1" x14ac:dyDescent="0.25">
      <c r="B39" s="2" t="s">
        <v>81</v>
      </c>
      <c r="Q39" s="14" t="str">
        <f t="shared" ref="Q39:T39" si="15">IF(L39/744*1.15=0,"0",L39/744*1.15)</f>
        <v>0</v>
      </c>
      <c r="R39" s="14" t="str">
        <f t="shared" si="15"/>
        <v>0</v>
      </c>
      <c r="S39" s="14" t="str">
        <f t="shared" si="15"/>
        <v>0</v>
      </c>
      <c r="T39" s="14" t="str">
        <f t="shared" si="15"/>
        <v>0</v>
      </c>
      <c r="U39" s="14">
        <f t="shared" ref="U39" si="16">Q39+R39+S39+T39</f>
        <v>0</v>
      </c>
    </row>
    <row r="43" spans="1:257" s="2" customFormat="1" x14ac:dyDescent="0.25"/>
    <row r="44" spans="1:257" s="2" customFormat="1" ht="15.75" x14ac:dyDescent="0.25">
      <c r="A44" s="27" t="s">
        <v>76</v>
      </c>
      <c r="B44" s="33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  <c r="GA44" s="25"/>
      <c r="GB44" s="25"/>
      <c r="GC44" s="25"/>
      <c r="GD44" s="25"/>
      <c r="GE44" s="25"/>
      <c r="GF44" s="25"/>
      <c r="GG44" s="25"/>
      <c r="GH44" s="25"/>
      <c r="GI44" s="25"/>
      <c r="GJ44" s="25"/>
      <c r="GK44" s="25"/>
      <c r="GL44" s="25"/>
      <c r="GM44" s="25"/>
      <c r="GN44" s="25"/>
      <c r="GO44" s="25"/>
      <c r="GP44" s="25"/>
      <c r="GQ44" s="25"/>
      <c r="GR44" s="25"/>
      <c r="GS44" s="25"/>
      <c r="GT44" s="25"/>
      <c r="GU44" s="25"/>
      <c r="GV44" s="25"/>
      <c r="GW44" s="25"/>
      <c r="GX44" s="25"/>
      <c r="GY44" s="25"/>
      <c r="GZ44" s="25"/>
      <c r="HA44" s="25"/>
      <c r="HB44" s="25"/>
      <c r="HC44" s="25"/>
      <c r="HD44" s="25"/>
      <c r="HE44" s="25"/>
      <c r="HF44" s="25"/>
      <c r="HG44" s="25"/>
      <c r="HH44" s="25"/>
      <c r="HI44" s="25"/>
      <c r="HJ44" s="25"/>
      <c r="HK44" s="25"/>
      <c r="HL44" s="25"/>
      <c r="HM44" s="25"/>
      <c r="HN44" s="25"/>
      <c r="HO44" s="25"/>
      <c r="HP44" s="25"/>
      <c r="HQ44" s="25"/>
      <c r="HR44" s="25"/>
      <c r="HS44" s="25"/>
      <c r="HT44" s="25"/>
      <c r="HU44" s="25"/>
      <c r="HV44" s="25"/>
      <c r="HW44" s="25"/>
      <c r="HX44" s="25"/>
      <c r="HY44" s="25"/>
      <c r="HZ44" s="25"/>
      <c r="IA44" s="25"/>
      <c r="IB44" s="25"/>
      <c r="IC44" s="25"/>
      <c r="ID44" s="25"/>
      <c r="IE44" s="25"/>
      <c r="IF44" s="25"/>
      <c r="IG44" s="25"/>
      <c r="IH44" s="25"/>
      <c r="II44" s="25"/>
      <c r="IJ44" s="25"/>
      <c r="IK44" s="25"/>
      <c r="IL44" s="25"/>
      <c r="IM44" s="25"/>
      <c r="IN44" s="25"/>
      <c r="IO44" s="25"/>
      <c r="IP44" s="25"/>
      <c r="IQ44" s="25"/>
      <c r="IR44" s="25"/>
      <c r="IS44" s="25"/>
      <c r="IT44" s="25"/>
      <c r="IU44" s="25"/>
      <c r="IV44" s="25"/>
      <c r="IW44" s="25"/>
    </row>
    <row r="45" spans="1:257" s="2" customFormat="1" ht="15.75" x14ac:dyDescent="0.25">
      <c r="A45" s="27"/>
      <c r="B45" s="33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  <c r="GA45" s="25"/>
      <c r="GB45" s="25"/>
      <c r="GC45" s="25"/>
      <c r="GD45" s="25"/>
      <c r="GE45" s="25"/>
      <c r="GF45" s="25"/>
      <c r="GG45" s="25"/>
      <c r="GH45" s="25"/>
      <c r="GI45" s="25"/>
      <c r="GJ45" s="25"/>
      <c r="GK45" s="25"/>
      <c r="GL45" s="25"/>
      <c r="GM45" s="25"/>
      <c r="GN45" s="25"/>
      <c r="GO45" s="25"/>
      <c r="GP45" s="25"/>
      <c r="GQ45" s="25"/>
      <c r="GR45" s="25"/>
      <c r="GS45" s="25"/>
      <c r="GT45" s="25"/>
      <c r="GU45" s="25"/>
      <c r="GV45" s="25"/>
      <c r="GW45" s="25"/>
      <c r="GX45" s="25"/>
      <c r="GY45" s="25"/>
      <c r="GZ45" s="25"/>
      <c r="HA45" s="25"/>
      <c r="HB45" s="25"/>
      <c r="HC45" s="25"/>
      <c r="HD45" s="25"/>
      <c r="HE45" s="25"/>
      <c r="HF45" s="25"/>
      <c r="HG45" s="25"/>
      <c r="HH45" s="25"/>
      <c r="HI45" s="25"/>
      <c r="HJ45" s="25"/>
      <c r="HK45" s="25"/>
      <c r="HL45" s="25"/>
      <c r="HM45" s="25"/>
      <c r="HN45" s="25"/>
      <c r="HO45" s="25"/>
      <c r="HP45" s="25"/>
      <c r="HQ45" s="25"/>
      <c r="HR45" s="25"/>
      <c r="HS45" s="25"/>
      <c r="HT45" s="25"/>
      <c r="HU45" s="25"/>
      <c r="HV45" s="25"/>
      <c r="HW45" s="25"/>
      <c r="HX45" s="25"/>
      <c r="HY45" s="25"/>
      <c r="HZ45" s="25"/>
      <c r="IA45" s="25"/>
      <c r="IB45" s="25"/>
      <c r="IC45" s="25"/>
      <c r="ID45" s="25"/>
      <c r="IE45" s="25"/>
      <c r="IF45" s="25"/>
      <c r="IG45" s="25"/>
      <c r="IH45" s="25"/>
      <c r="II45" s="25"/>
      <c r="IJ45" s="25"/>
      <c r="IK45" s="25"/>
      <c r="IL45" s="25"/>
      <c r="IM45" s="25"/>
      <c r="IN45" s="25"/>
      <c r="IO45" s="25"/>
      <c r="IP45" s="25"/>
      <c r="IQ45" s="25"/>
      <c r="IR45" s="25"/>
      <c r="IS45" s="25"/>
      <c r="IT45" s="25"/>
      <c r="IU45" s="25"/>
      <c r="IV45" s="25"/>
      <c r="IW45" s="25"/>
    </row>
    <row r="46" spans="1:257" s="2" customFormat="1" ht="15.75" x14ac:dyDescent="0.25">
      <c r="A46" s="27" t="s">
        <v>77</v>
      </c>
      <c r="B46" s="33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  <c r="GA46" s="25"/>
      <c r="GB46" s="25"/>
      <c r="GC46" s="25"/>
      <c r="GD46" s="25"/>
      <c r="GE46" s="25"/>
      <c r="GF46" s="25"/>
      <c r="GG46" s="25"/>
      <c r="GH46" s="25"/>
      <c r="GI46" s="25"/>
      <c r="GJ46" s="25"/>
      <c r="GK46" s="25"/>
      <c r="GL46" s="25"/>
      <c r="GM46" s="25"/>
      <c r="GN46" s="25"/>
      <c r="GO46" s="25"/>
      <c r="GP46" s="25"/>
      <c r="GQ46" s="25"/>
      <c r="GR46" s="25"/>
      <c r="GS46" s="25"/>
      <c r="GT46" s="25"/>
      <c r="GU46" s="25"/>
      <c r="GV46" s="25"/>
      <c r="GW46" s="25"/>
      <c r="GX46" s="25"/>
      <c r="GY46" s="25"/>
      <c r="GZ46" s="25"/>
      <c r="HA46" s="25"/>
      <c r="HB46" s="25"/>
      <c r="HC46" s="25"/>
      <c r="HD46" s="25"/>
      <c r="HE46" s="25"/>
      <c r="HF46" s="25"/>
      <c r="HG46" s="25"/>
      <c r="HH46" s="25"/>
      <c r="HI46" s="25"/>
      <c r="HJ46" s="25"/>
      <c r="HK46" s="25"/>
      <c r="HL46" s="25"/>
      <c r="HM46" s="25"/>
      <c r="HN46" s="25"/>
      <c r="HO46" s="25"/>
      <c r="HP46" s="25"/>
      <c r="HQ46" s="25"/>
      <c r="HR46" s="25"/>
      <c r="HS46" s="25"/>
      <c r="HT46" s="25"/>
      <c r="HU46" s="25"/>
      <c r="HV46" s="25"/>
      <c r="HW46" s="25"/>
      <c r="HX46" s="25"/>
      <c r="HY46" s="25"/>
      <c r="HZ46" s="25"/>
      <c r="IA46" s="25"/>
      <c r="IB46" s="25"/>
      <c r="IC46" s="25"/>
      <c r="ID46" s="25"/>
      <c r="IE46" s="25"/>
      <c r="IF46" s="25"/>
      <c r="IG46" s="25"/>
      <c r="IH46" s="25"/>
      <c r="II46" s="25"/>
      <c r="IJ46" s="25"/>
      <c r="IK46" s="25"/>
      <c r="IL46" s="25"/>
      <c r="IM46" s="25"/>
      <c r="IN46" s="25"/>
      <c r="IO46" s="25"/>
      <c r="IP46" s="25"/>
      <c r="IQ46" s="25"/>
      <c r="IR46" s="25"/>
      <c r="IS46" s="25"/>
      <c r="IT46" s="25"/>
      <c r="IU46" s="25"/>
      <c r="IV46" s="25"/>
      <c r="IW46" s="25"/>
    </row>
  </sheetData>
  <autoFilter ref="A2:A38" xr:uid="{00000000-0009-0000-0000-000004000000}"/>
  <mergeCells count="7">
    <mergeCell ref="Q5:U6"/>
    <mergeCell ref="A2:K2"/>
    <mergeCell ref="A3:K3"/>
    <mergeCell ref="A5:A6"/>
    <mergeCell ref="B5:F6"/>
    <mergeCell ref="G5:K6"/>
    <mergeCell ref="L5:P6"/>
  </mergeCells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W50"/>
  <sheetViews>
    <sheetView view="pageBreakPreview" topLeftCell="A19" zoomScaleNormal="100" zoomScaleSheetLayoutView="100" workbookViewId="0">
      <selection activeCell="K25" sqref="K1:AD1048576"/>
    </sheetView>
  </sheetViews>
  <sheetFormatPr defaultRowHeight="15" x14ac:dyDescent="0.25"/>
  <cols>
    <col min="1" max="1" width="38" style="6" customWidth="1"/>
    <col min="2" max="13" width="9.140625" style="6" customWidth="1"/>
    <col min="14" max="14" width="9.85546875" style="6" customWidth="1"/>
    <col min="15" max="15" width="10.140625" style="6" customWidth="1"/>
    <col min="16" max="16" width="10" style="6" customWidth="1"/>
    <col min="17" max="21" width="9.140625" style="28" customWidth="1"/>
    <col min="22" max="29" width="9.140625" style="6" customWidth="1"/>
    <col min="30" max="16384" width="9.140625" style="6"/>
  </cols>
  <sheetData>
    <row r="1" spans="1:21" ht="15" customHeight="1" x14ac:dyDescent="0.25">
      <c r="J1" s="59" t="s">
        <v>100</v>
      </c>
    </row>
    <row r="2" spans="1:21" ht="15.75" x14ac:dyDescent="0.25">
      <c r="A2" s="67" t="s">
        <v>33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21" ht="15.75" x14ac:dyDescent="0.25">
      <c r="A3" s="67" t="s">
        <v>61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21" x14ac:dyDescent="0.25">
      <c r="A4" s="18" t="s">
        <v>34</v>
      </c>
      <c r="B4" s="4"/>
      <c r="C4" s="4"/>
      <c r="D4" s="4"/>
      <c r="E4" s="4"/>
      <c r="F4" s="5"/>
      <c r="K4" s="7"/>
    </row>
    <row r="5" spans="1:21" x14ac:dyDescent="0.25">
      <c r="A5" s="68" t="s">
        <v>35</v>
      </c>
      <c r="B5" s="66" t="s">
        <v>29</v>
      </c>
      <c r="C5" s="66"/>
      <c r="D5" s="66"/>
      <c r="E5" s="66"/>
      <c r="F5" s="66"/>
      <c r="G5" s="66" t="s">
        <v>36</v>
      </c>
      <c r="H5" s="66"/>
      <c r="I5" s="66"/>
      <c r="J5" s="66"/>
      <c r="K5" s="66"/>
      <c r="L5" s="66" t="s">
        <v>42</v>
      </c>
      <c r="M5" s="66"/>
      <c r="N5" s="66"/>
      <c r="O5" s="66"/>
      <c r="P5" s="66"/>
      <c r="Q5" s="66" t="s">
        <v>43</v>
      </c>
      <c r="R5" s="66"/>
      <c r="S5" s="66"/>
      <c r="T5" s="66"/>
      <c r="U5" s="66"/>
    </row>
    <row r="6" spans="1:21" x14ac:dyDescent="0.25">
      <c r="A6" s="69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</row>
    <row r="7" spans="1:21" x14ac:dyDescent="0.25">
      <c r="A7" s="29" t="s">
        <v>37</v>
      </c>
      <c r="B7" s="9" t="s">
        <v>1</v>
      </c>
      <c r="C7" s="9" t="s">
        <v>39</v>
      </c>
      <c r="D7" s="9" t="s">
        <v>40</v>
      </c>
      <c r="E7" s="9" t="s">
        <v>2</v>
      </c>
      <c r="F7" s="9" t="s">
        <v>41</v>
      </c>
      <c r="G7" s="9" t="s">
        <v>1</v>
      </c>
      <c r="H7" s="9" t="s">
        <v>39</v>
      </c>
      <c r="I7" s="9" t="s">
        <v>40</v>
      </c>
      <c r="J7" s="9" t="s">
        <v>2</v>
      </c>
      <c r="K7" s="9" t="s">
        <v>41</v>
      </c>
      <c r="L7" s="9" t="s">
        <v>1</v>
      </c>
      <c r="M7" s="9" t="s">
        <v>39</v>
      </c>
      <c r="N7" s="9" t="s">
        <v>40</v>
      </c>
      <c r="O7" s="9" t="s">
        <v>2</v>
      </c>
      <c r="P7" s="9" t="s">
        <v>41</v>
      </c>
      <c r="Q7" s="9" t="s">
        <v>1</v>
      </c>
      <c r="R7" s="9" t="s">
        <v>39</v>
      </c>
      <c r="S7" s="9" t="s">
        <v>40</v>
      </c>
      <c r="T7" s="9" t="s">
        <v>2</v>
      </c>
      <c r="U7" s="9" t="s">
        <v>41</v>
      </c>
    </row>
    <row r="8" spans="1:21" x14ac:dyDescent="0.25">
      <c r="A8" s="30" t="s">
        <v>3</v>
      </c>
      <c r="B8" s="11">
        <f t="shared" ref="B8:B37" si="0">IF(L8/$P$38=0,"-",L8/$P$38)</f>
        <v>7.2096103297140651E-3</v>
      </c>
      <c r="C8" s="11" t="str">
        <f t="shared" ref="C8:C37" si="1">IF(M8/$P$38=0,"-",M8/$P$38)</f>
        <v>-</v>
      </c>
      <c r="D8" s="11" t="str">
        <f t="shared" ref="D8:D37" si="2">IF(N8/$P$38=0,"-",N8/$P$38)</f>
        <v>-</v>
      </c>
      <c r="E8" s="11" t="str">
        <f t="shared" ref="E8:E37" si="3">IF(O8/$P$38=0,"-",O8/$P$38)</f>
        <v>-</v>
      </c>
      <c r="F8" s="11">
        <f t="shared" ref="F8:F37" si="4">P8/$P$38</f>
        <v>7.2096103297140651E-3</v>
      </c>
      <c r="G8" s="11">
        <f t="shared" ref="G8:G37" si="5">IF(Q8/$U$38=0,"-",Q8/$U$38)</f>
        <v>7.2096103297140659E-3</v>
      </c>
      <c r="H8" s="11" t="str">
        <f t="shared" ref="H8:H37" si="6">IF(R8/$U$38=0,"-",R8/$U$38)</f>
        <v>-</v>
      </c>
      <c r="I8" s="11" t="str">
        <f t="shared" ref="I8:I37" si="7">IF(S8/$U$38=0,"-",S8/$U$38)</f>
        <v>-</v>
      </c>
      <c r="J8" s="11" t="str">
        <f t="shared" ref="J8:J37" si="8">IF(T8/$U$38=0,"-",T8/$U$38)</f>
        <v>-</v>
      </c>
      <c r="K8" s="11">
        <f t="shared" ref="K8:K37" si="9">IF(U8/$U$38=0,"-",U8/$U$38)</f>
        <v>7.2096103297140659E-3</v>
      </c>
      <c r="L8" s="13">
        <v>231120</v>
      </c>
      <c r="M8" s="13"/>
      <c r="N8" s="13"/>
      <c r="O8" s="13"/>
      <c r="P8" s="13">
        <f t="shared" ref="P8:P37" si="10">SUM(L8:O8)</f>
        <v>231120</v>
      </c>
      <c r="Q8" s="14">
        <f t="shared" ref="Q8:T39" si="11">IF(L8/744*1.15=0,"0",L8/744*1.15)</f>
        <v>357.24193548387092</v>
      </c>
      <c r="R8" s="14" t="str">
        <f t="shared" si="11"/>
        <v>0</v>
      </c>
      <c r="S8" s="14" t="str">
        <f t="shared" si="11"/>
        <v>0</v>
      </c>
      <c r="T8" s="14" t="str">
        <f t="shared" si="11"/>
        <v>0</v>
      </c>
      <c r="U8" s="14">
        <f t="shared" ref="U8:U39" si="12">Q8+R8+S8+T8</f>
        <v>357.24193548387092</v>
      </c>
    </row>
    <row r="9" spans="1:21" x14ac:dyDescent="0.25">
      <c r="A9" s="30" t="s">
        <v>4</v>
      </c>
      <c r="B9" s="11" t="str">
        <f t="shared" si="0"/>
        <v>-</v>
      </c>
      <c r="C9" s="11" t="str">
        <f t="shared" si="1"/>
        <v>-</v>
      </c>
      <c r="D9" s="11">
        <f t="shared" si="2"/>
        <v>2.2849492385005995E-2</v>
      </c>
      <c r="E9" s="11">
        <f t="shared" si="3"/>
        <v>1.8231373867992368E-2</v>
      </c>
      <c r="F9" s="11">
        <f t="shared" si="4"/>
        <v>4.1080866252998366E-2</v>
      </c>
      <c r="G9" s="11" t="str">
        <f t="shared" si="5"/>
        <v>-</v>
      </c>
      <c r="H9" s="11" t="str">
        <f t="shared" si="6"/>
        <v>-</v>
      </c>
      <c r="I9" s="11">
        <f t="shared" si="7"/>
        <v>2.2849492385005998E-2</v>
      </c>
      <c r="J9" s="11">
        <f t="shared" si="8"/>
        <v>1.8231373867992371E-2</v>
      </c>
      <c r="K9" s="11">
        <f t="shared" si="9"/>
        <v>4.1080866252998373E-2</v>
      </c>
      <c r="L9" s="13"/>
      <c r="M9" s="13"/>
      <c r="N9" s="13">
        <v>732491</v>
      </c>
      <c r="O9" s="13">
        <v>584447</v>
      </c>
      <c r="P9" s="13">
        <f t="shared" si="10"/>
        <v>1316938</v>
      </c>
      <c r="Q9" s="14" t="str">
        <f t="shared" si="11"/>
        <v>0</v>
      </c>
      <c r="R9" s="14" t="str">
        <f t="shared" si="11"/>
        <v>0</v>
      </c>
      <c r="S9" s="14">
        <f t="shared" si="11"/>
        <v>1132.2105510752688</v>
      </c>
      <c r="T9" s="14">
        <f t="shared" si="11"/>
        <v>903.3790994623655</v>
      </c>
      <c r="U9" s="14">
        <f t="shared" si="12"/>
        <v>2035.5896505376343</v>
      </c>
    </row>
    <row r="10" spans="1:21" x14ac:dyDescent="0.25">
      <c r="A10" s="30" t="s">
        <v>51</v>
      </c>
      <c r="B10" s="11" t="str">
        <f t="shared" si="0"/>
        <v>-</v>
      </c>
      <c r="C10" s="11" t="str">
        <f t="shared" si="1"/>
        <v>-</v>
      </c>
      <c r="D10" s="11">
        <f t="shared" si="2"/>
        <v>2.3313568937771468E-2</v>
      </c>
      <c r="E10" s="11">
        <f t="shared" si="3"/>
        <v>1.4466417528711868E-2</v>
      </c>
      <c r="F10" s="11">
        <f t="shared" si="4"/>
        <v>3.7779986466483333E-2</v>
      </c>
      <c r="G10" s="11" t="str">
        <f t="shared" si="5"/>
        <v>-</v>
      </c>
      <c r="H10" s="11" t="str">
        <f t="shared" si="6"/>
        <v>-</v>
      </c>
      <c r="I10" s="11">
        <f t="shared" si="7"/>
        <v>2.3313568937771468E-2</v>
      </c>
      <c r="J10" s="11">
        <f t="shared" si="8"/>
        <v>1.4466417528711872E-2</v>
      </c>
      <c r="K10" s="11">
        <f t="shared" si="9"/>
        <v>3.777998646648334E-2</v>
      </c>
      <c r="L10" s="13"/>
      <c r="M10" s="13"/>
      <c r="N10" s="13">
        <v>747368</v>
      </c>
      <c r="O10" s="13">
        <v>463753</v>
      </c>
      <c r="P10" s="13">
        <f t="shared" si="10"/>
        <v>1211121</v>
      </c>
      <c r="Q10" s="14" t="str">
        <f t="shared" si="11"/>
        <v>0</v>
      </c>
      <c r="R10" s="14" t="str">
        <f t="shared" si="11"/>
        <v>0</v>
      </c>
      <c r="S10" s="14">
        <f t="shared" si="11"/>
        <v>1155.2059139784944</v>
      </c>
      <c r="T10" s="14">
        <f t="shared" si="11"/>
        <v>716.82251344086023</v>
      </c>
      <c r="U10" s="14">
        <f t="shared" si="12"/>
        <v>1872.0284274193546</v>
      </c>
    </row>
    <row r="11" spans="1:21" x14ac:dyDescent="0.25">
      <c r="A11" s="30" t="s">
        <v>6</v>
      </c>
      <c r="B11" s="11" t="str">
        <f t="shared" si="0"/>
        <v>-</v>
      </c>
      <c r="C11" s="11" t="str">
        <f t="shared" si="1"/>
        <v>-</v>
      </c>
      <c r="D11" s="11">
        <f t="shared" si="2"/>
        <v>3.3375018119870094E-3</v>
      </c>
      <c r="E11" s="11">
        <f t="shared" si="3"/>
        <v>8.0253706262368787E-3</v>
      </c>
      <c r="F11" s="11">
        <f t="shared" si="4"/>
        <v>1.1362872438223887E-2</v>
      </c>
      <c r="G11" s="11" t="str">
        <f t="shared" si="5"/>
        <v>-</v>
      </c>
      <c r="H11" s="11" t="str">
        <f t="shared" si="6"/>
        <v>-</v>
      </c>
      <c r="I11" s="11">
        <f t="shared" si="7"/>
        <v>3.3375018119870098E-3</v>
      </c>
      <c r="J11" s="11">
        <f t="shared" si="8"/>
        <v>8.0253706262368805E-3</v>
      </c>
      <c r="K11" s="11">
        <f t="shared" si="9"/>
        <v>1.1362872438223891E-2</v>
      </c>
      <c r="L11" s="13"/>
      <c r="M11" s="13"/>
      <c r="N11" s="13">
        <v>106991</v>
      </c>
      <c r="O11" s="13">
        <v>257271</v>
      </c>
      <c r="P11" s="13">
        <f t="shared" si="10"/>
        <v>364262</v>
      </c>
      <c r="Q11" s="14" t="str">
        <f t="shared" si="11"/>
        <v>0</v>
      </c>
      <c r="R11" s="14" t="str">
        <f t="shared" si="11"/>
        <v>0</v>
      </c>
      <c r="S11" s="14">
        <f t="shared" si="11"/>
        <v>165.37587365591398</v>
      </c>
      <c r="T11" s="14">
        <f t="shared" si="11"/>
        <v>397.66350806451612</v>
      </c>
      <c r="U11" s="14">
        <f t="shared" si="12"/>
        <v>563.03938172043013</v>
      </c>
    </row>
    <row r="12" spans="1:21" x14ac:dyDescent="0.25">
      <c r="A12" s="30" t="s">
        <v>52</v>
      </c>
      <c r="B12" s="11">
        <f t="shared" si="0"/>
        <v>4.4854432199630027E-2</v>
      </c>
      <c r="C12" s="11">
        <f t="shared" si="1"/>
        <v>0.12905324147683356</v>
      </c>
      <c r="D12" s="11">
        <f t="shared" si="2"/>
        <v>1.9223599920984515E-2</v>
      </c>
      <c r="E12" s="11">
        <f t="shared" si="3"/>
        <v>4.995690539025948E-2</v>
      </c>
      <c r="F12" s="11">
        <f t="shared" si="4"/>
        <v>0.2430881789877076</v>
      </c>
      <c r="G12" s="11">
        <f t="shared" si="5"/>
        <v>4.4854432199630034E-2</v>
      </c>
      <c r="H12" s="11">
        <f t="shared" si="6"/>
        <v>0.12905324147683359</v>
      </c>
      <c r="I12" s="11">
        <f t="shared" si="7"/>
        <v>1.9223599920984519E-2</v>
      </c>
      <c r="J12" s="11">
        <f t="shared" si="8"/>
        <v>4.9956905390259494E-2</v>
      </c>
      <c r="K12" s="11">
        <f t="shared" si="9"/>
        <v>0.24308817898770763</v>
      </c>
      <c r="L12" s="13">
        <v>1437908</v>
      </c>
      <c r="M12" s="13">
        <v>4137087</v>
      </c>
      <c r="N12" s="13">
        <v>616255</v>
      </c>
      <c r="O12" s="13">
        <v>1601479.06</v>
      </c>
      <c r="P12" s="13">
        <f t="shared" si="10"/>
        <v>7792729.0600000005</v>
      </c>
      <c r="Q12" s="14">
        <f t="shared" si="11"/>
        <v>2222.5728494623654</v>
      </c>
      <c r="R12" s="14">
        <f t="shared" si="11"/>
        <v>6394.690927419354</v>
      </c>
      <c r="S12" s="14">
        <f t="shared" si="11"/>
        <v>952.54469086021493</v>
      </c>
      <c r="T12" s="14">
        <f t="shared" si="11"/>
        <v>2475.4044610215055</v>
      </c>
      <c r="U12" s="14">
        <f t="shared" si="12"/>
        <v>12045.21292876344</v>
      </c>
    </row>
    <row r="13" spans="1:21" x14ac:dyDescent="0.25">
      <c r="A13" s="30" t="s">
        <v>9</v>
      </c>
      <c r="B13" s="11" t="str">
        <f t="shared" si="0"/>
        <v>-</v>
      </c>
      <c r="C13" s="11" t="str">
        <f t="shared" si="1"/>
        <v>-</v>
      </c>
      <c r="D13" s="11">
        <f t="shared" si="2"/>
        <v>6.0999068082998728E-3</v>
      </c>
      <c r="E13" s="11">
        <f t="shared" si="3"/>
        <v>6.773140670085478E-3</v>
      </c>
      <c r="F13" s="11">
        <f t="shared" si="4"/>
        <v>1.2873047478385351E-2</v>
      </c>
      <c r="G13" s="11" t="str">
        <f t="shared" si="5"/>
        <v>-</v>
      </c>
      <c r="H13" s="11" t="str">
        <f t="shared" si="6"/>
        <v>-</v>
      </c>
      <c r="I13" s="11">
        <f t="shared" si="7"/>
        <v>6.0999068082998728E-3</v>
      </c>
      <c r="J13" s="11">
        <f t="shared" si="8"/>
        <v>6.773140670085478E-3</v>
      </c>
      <c r="K13" s="11">
        <f t="shared" si="9"/>
        <v>1.2873047478385349E-2</v>
      </c>
      <c r="L13" s="13"/>
      <c r="M13" s="13"/>
      <c r="N13" s="13">
        <v>195546</v>
      </c>
      <c r="O13" s="13">
        <v>217128</v>
      </c>
      <c r="P13" s="13">
        <f t="shared" si="10"/>
        <v>412674</v>
      </c>
      <c r="Q13" s="14" t="str">
        <f t="shared" si="11"/>
        <v>0</v>
      </c>
      <c r="R13" s="14" t="str">
        <f t="shared" si="11"/>
        <v>0</v>
      </c>
      <c r="S13" s="14">
        <f t="shared" si="11"/>
        <v>302.25524193548381</v>
      </c>
      <c r="T13" s="14">
        <f t="shared" si="11"/>
        <v>335.61451612903221</v>
      </c>
      <c r="U13" s="14">
        <f t="shared" si="12"/>
        <v>637.86975806451596</v>
      </c>
    </row>
    <row r="14" spans="1:21" x14ac:dyDescent="0.25">
      <c r="A14" s="30" t="s">
        <v>10</v>
      </c>
      <c r="B14" s="11" t="str">
        <f t="shared" si="0"/>
        <v>-</v>
      </c>
      <c r="C14" s="11" t="str">
        <f t="shared" si="1"/>
        <v>-</v>
      </c>
      <c r="D14" s="11">
        <f t="shared" si="2"/>
        <v>1.8679416586777776E-2</v>
      </c>
      <c r="E14" s="11">
        <f t="shared" si="3"/>
        <v>1.1166941482525835E-2</v>
      </c>
      <c r="F14" s="11">
        <f t="shared" si="4"/>
        <v>2.9846358069303611E-2</v>
      </c>
      <c r="G14" s="11" t="str">
        <f t="shared" si="5"/>
        <v>-</v>
      </c>
      <c r="H14" s="11" t="str">
        <f t="shared" si="6"/>
        <v>-</v>
      </c>
      <c r="I14" s="11">
        <f t="shared" si="7"/>
        <v>1.867941658677778E-2</v>
      </c>
      <c r="J14" s="11">
        <f t="shared" si="8"/>
        <v>1.1166941482525837E-2</v>
      </c>
      <c r="K14" s="11">
        <f t="shared" si="9"/>
        <v>2.9846358069303618E-2</v>
      </c>
      <c r="L14" s="13"/>
      <c r="M14" s="13"/>
      <c r="N14" s="13">
        <v>598810</v>
      </c>
      <c r="O14" s="13">
        <v>357981</v>
      </c>
      <c r="P14" s="13">
        <f t="shared" si="10"/>
        <v>956791</v>
      </c>
      <c r="Q14" s="14" t="str">
        <f t="shared" si="11"/>
        <v>0</v>
      </c>
      <c r="R14" s="14" t="str">
        <f t="shared" si="11"/>
        <v>0</v>
      </c>
      <c r="S14" s="14">
        <f t="shared" si="11"/>
        <v>925.57997311827955</v>
      </c>
      <c r="T14" s="14">
        <f t="shared" si="11"/>
        <v>553.33084677419356</v>
      </c>
      <c r="U14" s="14">
        <f t="shared" si="12"/>
        <v>1478.9108198924732</v>
      </c>
    </row>
    <row r="15" spans="1:21" x14ac:dyDescent="0.25">
      <c r="A15" s="30" t="s">
        <v>12</v>
      </c>
      <c r="B15" s="11" t="str">
        <f t="shared" si="0"/>
        <v>-</v>
      </c>
      <c r="C15" s="11" t="str">
        <f t="shared" si="1"/>
        <v>-</v>
      </c>
      <c r="D15" s="11">
        <f t="shared" si="2"/>
        <v>7.2619854411003146E-3</v>
      </c>
      <c r="E15" s="11">
        <f t="shared" si="3"/>
        <v>3.6793905676709231E-3</v>
      </c>
      <c r="F15" s="11">
        <f t="shared" si="4"/>
        <v>1.0941376008771238E-2</v>
      </c>
      <c r="G15" s="11" t="str">
        <f t="shared" si="5"/>
        <v>-</v>
      </c>
      <c r="H15" s="11" t="str">
        <f t="shared" si="6"/>
        <v>-</v>
      </c>
      <c r="I15" s="11">
        <f t="shared" si="7"/>
        <v>7.2619854411003154E-3</v>
      </c>
      <c r="J15" s="11">
        <f t="shared" si="8"/>
        <v>3.6793905676709231E-3</v>
      </c>
      <c r="K15" s="11">
        <f t="shared" si="9"/>
        <v>1.0941376008771238E-2</v>
      </c>
      <c r="L15" s="13"/>
      <c r="M15" s="13"/>
      <c r="N15" s="13">
        <v>232799</v>
      </c>
      <c r="O15" s="13">
        <v>117951</v>
      </c>
      <c r="P15" s="13">
        <f t="shared" si="10"/>
        <v>350750</v>
      </c>
      <c r="Q15" s="14" t="str">
        <f t="shared" si="11"/>
        <v>0</v>
      </c>
      <c r="R15" s="14" t="str">
        <f t="shared" si="11"/>
        <v>0</v>
      </c>
      <c r="S15" s="14">
        <f t="shared" si="11"/>
        <v>359.83716397849457</v>
      </c>
      <c r="T15" s="14">
        <f t="shared" si="11"/>
        <v>182.31673387096771</v>
      </c>
      <c r="U15" s="14">
        <f t="shared" si="12"/>
        <v>542.15389784946228</v>
      </c>
    </row>
    <row r="16" spans="1:21" x14ac:dyDescent="0.25">
      <c r="A16" s="30" t="s">
        <v>13</v>
      </c>
      <c r="B16" s="11">
        <f t="shared" si="0"/>
        <v>1.5709632352528174E-2</v>
      </c>
      <c r="C16" s="11" t="str">
        <f t="shared" si="1"/>
        <v>-</v>
      </c>
      <c r="D16" s="11">
        <f t="shared" si="2"/>
        <v>5.9301166169506443E-3</v>
      </c>
      <c r="E16" s="11">
        <f t="shared" si="3"/>
        <v>8.7584662144967011E-3</v>
      </c>
      <c r="F16" s="11">
        <f t="shared" si="4"/>
        <v>3.0398215183975518E-2</v>
      </c>
      <c r="G16" s="11">
        <f t="shared" si="5"/>
        <v>1.5709632352528174E-2</v>
      </c>
      <c r="H16" s="11" t="str">
        <f t="shared" si="6"/>
        <v>-</v>
      </c>
      <c r="I16" s="11">
        <f t="shared" si="7"/>
        <v>5.9301166169506443E-3</v>
      </c>
      <c r="J16" s="11">
        <f t="shared" si="8"/>
        <v>8.7584662144967029E-3</v>
      </c>
      <c r="K16" s="11">
        <f t="shared" si="9"/>
        <v>3.0398215183975518E-2</v>
      </c>
      <c r="L16" s="13">
        <v>503607</v>
      </c>
      <c r="M16" s="13"/>
      <c r="N16" s="13">
        <v>190103</v>
      </c>
      <c r="O16" s="13">
        <v>280772</v>
      </c>
      <c r="P16" s="13">
        <f t="shared" si="10"/>
        <v>974482</v>
      </c>
      <c r="Q16" s="14">
        <f t="shared" si="11"/>
        <v>778.42479838709664</v>
      </c>
      <c r="R16" s="14" t="str">
        <f t="shared" si="11"/>
        <v>0</v>
      </c>
      <c r="S16" s="14">
        <f t="shared" si="11"/>
        <v>293.84200268817199</v>
      </c>
      <c r="T16" s="14">
        <f t="shared" si="11"/>
        <v>433.98897849462361</v>
      </c>
      <c r="U16" s="14">
        <f t="shared" si="12"/>
        <v>1506.2557795698922</v>
      </c>
    </row>
    <row r="17" spans="1:23" x14ac:dyDescent="0.25">
      <c r="A17" s="30" t="s">
        <v>14</v>
      </c>
      <c r="B17" s="11" t="str">
        <f t="shared" si="0"/>
        <v>-</v>
      </c>
      <c r="C17" s="11" t="str">
        <f t="shared" si="1"/>
        <v>-</v>
      </c>
      <c r="D17" s="11">
        <f t="shared" si="2"/>
        <v>1.6125981734107845E-2</v>
      </c>
      <c r="E17" s="11">
        <f t="shared" si="3"/>
        <v>1.8225478158610593E-2</v>
      </c>
      <c r="F17" s="11">
        <f t="shared" si="4"/>
        <v>3.4351459892718435E-2</v>
      </c>
      <c r="G17" s="11" t="str">
        <f t="shared" si="5"/>
        <v>-</v>
      </c>
      <c r="H17" s="11" t="str">
        <f t="shared" si="6"/>
        <v>-</v>
      </c>
      <c r="I17" s="11">
        <f t="shared" si="7"/>
        <v>1.6125981734107848E-2</v>
      </c>
      <c r="J17" s="11">
        <f t="shared" si="8"/>
        <v>1.8225478158610593E-2</v>
      </c>
      <c r="K17" s="11">
        <f t="shared" si="9"/>
        <v>3.4351459892718442E-2</v>
      </c>
      <c r="L17" s="13"/>
      <c r="M17" s="13"/>
      <c r="N17" s="13">
        <v>516954</v>
      </c>
      <c r="O17" s="13">
        <v>584258</v>
      </c>
      <c r="P17" s="13">
        <f t="shared" si="10"/>
        <v>1101212</v>
      </c>
      <c r="Q17" s="14" t="str">
        <f t="shared" si="11"/>
        <v>0</v>
      </c>
      <c r="R17" s="14" t="str">
        <f t="shared" si="11"/>
        <v>0</v>
      </c>
      <c r="S17" s="14">
        <f t="shared" si="11"/>
        <v>799.05524193548388</v>
      </c>
      <c r="T17" s="14">
        <f t="shared" si="11"/>
        <v>903.08696236559126</v>
      </c>
      <c r="U17" s="14">
        <f t="shared" si="12"/>
        <v>1702.1422043010753</v>
      </c>
    </row>
    <row r="18" spans="1:23" x14ac:dyDescent="0.25">
      <c r="A18" s="30" t="s">
        <v>15</v>
      </c>
      <c r="B18" s="11" t="str">
        <f t="shared" si="0"/>
        <v>-</v>
      </c>
      <c r="C18" s="11" t="str">
        <f t="shared" si="1"/>
        <v>-</v>
      </c>
      <c r="D18" s="11">
        <f t="shared" si="2"/>
        <v>1.0412665012412966E-2</v>
      </c>
      <c r="E18" s="11">
        <f t="shared" si="3"/>
        <v>1.4310508769504916E-2</v>
      </c>
      <c r="F18" s="11">
        <f t="shared" si="4"/>
        <v>2.4723173781917882E-2</v>
      </c>
      <c r="G18" s="11" t="str">
        <f t="shared" si="5"/>
        <v>-</v>
      </c>
      <c r="H18" s="11" t="str">
        <f t="shared" si="6"/>
        <v>-</v>
      </c>
      <c r="I18" s="11">
        <f t="shared" si="7"/>
        <v>1.0412665012412968E-2</v>
      </c>
      <c r="J18" s="11">
        <f t="shared" si="8"/>
        <v>1.4310508769504918E-2</v>
      </c>
      <c r="K18" s="11">
        <f t="shared" si="9"/>
        <v>2.4723173781917889E-2</v>
      </c>
      <c r="L18" s="13"/>
      <c r="M18" s="13"/>
      <c r="N18" s="13">
        <v>333801</v>
      </c>
      <c r="O18" s="13">
        <v>458755</v>
      </c>
      <c r="P18" s="13">
        <f t="shared" si="10"/>
        <v>792556</v>
      </c>
      <c r="Q18" s="14" t="str">
        <f t="shared" si="11"/>
        <v>0</v>
      </c>
      <c r="R18" s="14" t="str">
        <f t="shared" si="11"/>
        <v>0</v>
      </c>
      <c r="S18" s="14">
        <f t="shared" si="11"/>
        <v>515.95584677419356</v>
      </c>
      <c r="T18" s="14">
        <f t="shared" si="11"/>
        <v>709.0971102150537</v>
      </c>
      <c r="U18" s="14">
        <f t="shared" si="12"/>
        <v>1225.0529569892474</v>
      </c>
    </row>
    <row r="19" spans="1:23" x14ac:dyDescent="0.25">
      <c r="A19" s="30" t="s">
        <v>16</v>
      </c>
      <c r="B19" s="11" t="str">
        <f t="shared" si="0"/>
        <v>-</v>
      </c>
      <c r="C19" s="11" t="str">
        <f t="shared" si="1"/>
        <v>-</v>
      </c>
      <c r="D19" s="11">
        <f t="shared" si="2"/>
        <v>2.0220661079554308E-2</v>
      </c>
      <c r="E19" s="11">
        <f t="shared" si="3"/>
        <v>2.8904011589335057E-2</v>
      </c>
      <c r="F19" s="11">
        <f t="shared" si="4"/>
        <v>4.9124672668889369E-2</v>
      </c>
      <c r="G19" s="11" t="str">
        <f t="shared" si="5"/>
        <v>-</v>
      </c>
      <c r="H19" s="11" t="str">
        <f t="shared" si="6"/>
        <v>-</v>
      </c>
      <c r="I19" s="11">
        <f t="shared" si="7"/>
        <v>2.0220661079554312E-2</v>
      </c>
      <c r="J19" s="11">
        <f t="shared" si="8"/>
        <v>2.8904011589335064E-2</v>
      </c>
      <c r="K19" s="11">
        <f t="shared" si="9"/>
        <v>4.9124672668889376E-2</v>
      </c>
      <c r="L19" s="13"/>
      <c r="M19" s="13"/>
      <c r="N19" s="13">
        <v>648218</v>
      </c>
      <c r="O19" s="13">
        <v>926582</v>
      </c>
      <c r="P19" s="13">
        <f t="shared" si="10"/>
        <v>1574800</v>
      </c>
      <c r="Q19" s="14" t="str">
        <f t="shared" si="11"/>
        <v>0</v>
      </c>
      <c r="R19" s="14" t="str">
        <f t="shared" si="11"/>
        <v>0</v>
      </c>
      <c r="S19" s="14">
        <f t="shared" si="11"/>
        <v>1001.9498655913977</v>
      </c>
      <c r="T19" s="14">
        <f t="shared" si="11"/>
        <v>1432.2168010752689</v>
      </c>
      <c r="U19" s="14">
        <f t="shared" si="12"/>
        <v>2434.1666666666665</v>
      </c>
    </row>
    <row r="20" spans="1:23" x14ac:dyDescent="0.25">
      <c r="A20" s="30" t="s">
        <v>47</v>
      </c>
      <c r="B20" s="11" t="str">
        <f t="shared" si="0"/>
        <v>-</v>
      </c>
      <c r="C20" s="11" t="str">
        <f t="shared" si="1"/>
        <v>-</v>
      </c>
      <c r="D20" s="11">
        <f t="shared" si="2"/>
        <v>1.47879364525106E-3</v>
      </c>
      <c r="E20" s="11">
        <f t="shared" si="3"/>
        <v>1.3931654851824155E-3</v>
      </c>
      <c r="F20" s="11">
        <f t="shared" si="4"/>
        <v>2.8719591304334755E-3</v>
      </c>
      <c r="G20" s="11" t="str">
        <f t="shared" si="5"/>
        <v>-</v>
      </c>
      <c r="H20" s="11" t="str">
        <f t="shared" si="6"/>
        <v>-</v>
      </c>
      <c r="I20" s="11">
        <f t="shared" si="7"/>
        <v>1.4787936452510602E-3</v>
      </c>
      <c r="J20" s="11">
        <f t="shared" si="8"/>
        <v>1.3931654851824158E-3</v>
      </c>
      <c r="K20" s="11">
        <f t="shared" si="9"/>
        <v>2.8719591304334755E-3</v>
      </c>
      <c r="L20" s="13"/>
      <c r="M20" s="13"/>
      <c r="N20" s="13">
        <v>47406</v>
      </c>
      <c r="O20" s="13">
        <v>44661</v>
      </c>
      <c r="P20" s="13">
        <f t="shared" si="10"/>
        <v>92067</v>
      </c>
      <c r="Q20" s="14" t="str">
        <f t="shared" si="11"/>
        <v>0</v>
      </c>
      <c r="R20" s="14" t="str">
        <f t="shared" si="11"/>
        <v>0</v>
      </c>
      <c r="S20" s="14">
        <f t="shared" si="11"/>
        <v>73.275403225806443</v>
      </c>
      <c r="T20" s="14">
        <f t="shared" si="11"/>
        <v>69.032459677419354</v>
      </c>
      <c r="U20" s="14">
        <f t="shared" si="12"/>
        <v>142.30786290322578</v>
      </c>
    </row>
    <row r="21" spans="1:23" x14ac:dyDescent="0.25">
      <c r="A21" s="30" t="s">
        <v>30</v>
      </c>
      <c r="B21" s="11" t="str">
        <f t="shared" si="0"/>
        <v>-</v>
      </c>
      <c r="C21" s="11" t="str">
        <f t="shared" si="1"/>
        <v>-</v>
      </c>
      <c r="D21" s="11">
        <f t="shared" si="2"/>
        <v>6.2017247734962499E-4</v>
      </c>
      <c r="E21" s="11">
        <f t="shared" si="3"/>
        <v>4.2757930421162471E-3</v>
      </c>
      <c r="F21" s="11">
        <f t="shared" si="4"/>
        <v>4.8959655194658717E-3</v>
      </c>
      <c r="G21" s="11" t="str">
        <f t="shared" si="5"/>
        <v>-</v>
      </c>
      <c r="H21" s="11" t="str">
        <f t="shared" si="6"/>
        <v>-</v>
      </c>
      <c r="I21" s="11">
        <f t="shared" si="7"/>
        <v>6.201724773496251E-4</v>
      </c>
      <c r="J21" s="11">
        <f t="shared" si="8"/>
        <v>4.2757930421162471E-3</v>
      </c>
      <c r="K21" s="11">
        <f t="shared" si="9"/>
        <v>4.8959655194658717E-3</v>
      </c>
      <c r="L21" s="13"/>
      <c r="M21" s="13"/>
      <c r="N21" s="13">
        <v>19881</v>
      </c>
      <c r="O21" s="13">
        <v>137070</v>
      </c>
      <c r="P21" s="13">
        <f t="shared" si="10"/>
        <v>156951</v>
      </c>
      <c r="Q21" s="14" t="str">
        <f t="shared" si="11"/>
        <v>0</v>
      </c>
      <c r="R21" s="14" t="str">
        <f t="shared" si="11"/>
        <v>0</v>
      </c>
      <c r="S21" s="14">
        <f t="shared" si="11"/>
        <v>30.730040322580642</v>
      </c>
      <c r="T21" s="14">
        <f t="shared" si="11"/>
        <v>211.8689516129032</v>
      </c>
      <c r="U21" s="14">
        <f t="shared" si="12"/>
        <v>242.59899193548384</v>
      </c>
    </row>
    <row r="22" spans="1:23" x14ac:dyDescent="0.25">
      <c r="A22" s="30" t="s">
        <v>50</v>
      </c>
      <c r="B22" s="11" t="str">
        <f t="shared" si="0"/>
        <v>-</v>
      </c>
      <c r="C22" s="11" t="str">
        <f t="shared" si="1"/>
        <v>-</v>
      </c>
      <c r="D22" s="11">
        <f t="shared" si="2"/>
        <v>8.7664207430276676E-3</v>
      </c>
      <c r="E22" s="11">
        <f t="shared" si="3"/>
        <v>1.9716624718756804E-3</v>
      </c>
      <c r="F22" s="11">
        <f t="shared" si="4"/>
        <v>1.0738083214903348E-2</v>
      </c>
      <c r="G22" s="11" t="str">
        <f t="shared" si="5"/>
        <v>-</v>
      </c>
      <c r="H22" s="11" t="str">
        <f t="shared" si="6"/>
        <v>-</v>
      </c>
      <c r="I22" s="11">
        <f t="shared" si="7"/>
        <v>8.7664207430276711E-3</v>
      </c>
      <c r="J22" s="11">
        <f t="shared" si="8"/>
        <v>1.9716624718756804E-3</v>
      </c>
      <c r="K22" s="11">
        <f t="shared" si="9"/>
        <v>1.0738083214903351E-2</v>
      </c>
      <c r="L22" s="13"/>
      <c r="M22" s="13"/>
      <c r="N22" s="13">
        <v>281027</v>
      </c>
      <c r="O22" s="13">
        <v>63206</v>
      </c>
      <c r="P22" s="13">
        <f t="shared" si="10"/>
        <v>344233</v>
      </c>
      <c r="Q22" s="14" t="str">
        <f t="shared" si="11"/>
        <v>0</v>
      </c>
      <c r="R22" s="14" t="str">
        <f t="shared" si="11"/>
        <v>0</v>
      </c>
      <c r="S22" s="14">
        <f t="shared" si="11"/>
        <v>434.38313172043013</v>
      </c>
      <c r="T22" s="14">
        <f t="shared" si="11"/>
        <v>97.697446236559131</v>
      </c>
      <c r="U22" s="14">
        <f t="shared" si="12"/>
        <v>532.08057795698926</v>
      </c>
    </row>
    <row r="23" spans="1:23" x14ac:dyDescent="0.25">
      <c r="A23" s="30" t="s">
        <v>17</v>
      </c>
      <c r="B23" s="11" t="str">
        <f t="shared" si="0"/>
        <v>-</v>
      </c>
      <c r="C23" s="11" t="str">
        <f t="shared" si="1"/>
        <v>-</v>
      </c>
      <c r="D23" s="11">
        <f t="shared" si="2"/>
        <v>1.1461945311221343E-2</v>
      </c>
      <c r="E23" s="11">
        <f t="shared" si="3"/>
        <v>2.2720691411263396E-2</v>
      </c>
      <c r="F23" s="11">
        <f t="shared" si="4"/>
        <v>3.4182636722484741E-2</v>
      </c>
      <c r="G23" s="11" t="str">
        <f t="shared" si="5"/>
        <v>-</v>
      </c>
      <c r="H23" s="11" t="str">
        <f t="shared" si="6"/>
        <v>-</v>
      </c>
      <c r="I23" s="11">
        <f t="shared" si="7"/>
        <v>1.1461945311221345E-2</v>
      </c>
      <c r="J23" s="11">
        <f t="shared" si="8"/>
        <v>2.27206914112634E-2</v>
      </c>
      <c r="K23" s="11">
        <f t="shared" si="9"/>
        <v>3.4182636722484748E-2</v>
      </c>
      <c r="L23" s="13"/>
      <c r="M23" s="13"/>
      <c r="N23" s="13">
        <v>367438</v>
      </c>
      <c r="O23" s="13">
        <v>728362</v>
      </c>
      <c r="P23" s="13">
        <f t="shared" si="10"/>
        <v>1095800</v>
      </c>
      <c r="Q23" s="14" t="str">
        <f t="shared" si="11"/>
        <v>0</v>
      </c>
      <c r="R23" s="14" t="str">
        <f t="shared" si="11"/>
        <v>0</v>
      </c>
      <c r="S23" s="14">
        <f t="shared" si="11"/>
        <v>567.94852150537633</v>
      </c>
      <c r="T23" s="14">
        <f t="shared" si="11"/>
        <v>1125.8283602150536</v>
      </c>
      <c r="U23" s="14">
        <f t="shared" si="12"/>
        <v>1693.7768817204301</v>
      </c>
    </row>
    <row r="24" spans="1:23" x14ac:dyDescent="0.25">
      <c r="A24" s="30" t="s">
        <v>18</v>
      </c>
      <c r="B24" s="11" t="str">
        <f t="shared" si="0"/>
        <v>-</v>
      </c>
      <c r="C24" s="11" t="str">
        <f t="shared" si="1"/>
        <v>-</v>
      </c>
      <c r="D24" s="11">
        <f t="shared" si="2"/>
        <v>1.9991757823239659E-2</v>
      </c>
      <c r="E24" s="11">
        <f t="shared" si="3"/>
        <v>4.2500266085218202E-3</v>
      </c>
      <c r="F24" s="11">
        <f t="shared" si="4"/>
        <v>2.424178443176148E-2</v>
      </c>
      <c r="G24" s="11" t="str">
        <f t="shared" si="5"/>
        <v>-</v>
      </c>
      <c r="H24" s="11" t="str">
        <f t="shared" si="6"/>
        <v>-</v>
      </c>
      <c r="I24" s="11">
        <f t="shared" si="7"/>
        <v>1.9991757823239663E-2</v>
      </c>
      <c r="J24" s="11">
        <f t="shared" si="8"/>
        <v>4.2500266085218211E-3</v>
      </c>
      <c r="K24" s="11">
        <f t="shared" si="9"/>
        <v>2.4241784431761483E-2</v>
      </c>
      <c r="L24" s="13"/>
      <c r="M24" s="13"/>
      <c r="N24" s="13">
        <v>640880</v>
      </c>
      <c r="O24" s="13">
        <v>136244</v>
      </c>
      <c r="P24" s="13">
        <f t="shared" si="10"/>
        <v>777124</v>
      </c>
      <c r="Q24" s="14" t="str">
        <f t="shared" si="11"/>
        <v>0</v>
      </c>
      <c r="R24" s="14" t="str">
        <f t="shared" si="11"/>
        <v>0</v>
      </c>
      <c r="S24" s="14">
        <f t="shared" si="11"/>
        <v>990.60752688172033</v>
      </c>
      <c r="T24" s="14">
        <f t="shared" si="11"/>
        <v>210.59220430107524</v>
      </c>
      <c r="U24" s="14">
        <f t="shared" si="12"/>
        <v>1201.1997311827956</v>
      </c>
      <c r="W24" s="31"/>
    </row>
    <row r="25" spans="1:23" x14ac:dyDescent="0.25">
      <c r="A25" s="30" t="s">
        <v>19</v>
      </c>
      <c r="B25" s="11" t="str">
        <f t="shared" si="0"/>
        <v>-</v>
      </c>
      <c r="C25" s="11" t="str">
        <f t="shared" si="1"/>
        <v>-</v>
      </c>
      <c r="D25" s="11">
        <f t="shared" si="2"/>
        <v>2.6890361684507682E-3</v>
      </c>
      <c r="E25" s="11">
        <f t="shared" si="3"/>
        <v>2.2519426242315166E-3</v>
      </c>
      <c r="F25" s="11">
        <f t="shared" si="4"/>
        <v>4.9409787926822848E-3</v>
      </c>
      <c r="G25" s="11" t="str">
        <f t="shared" si="5"/>
        <v>-</v>
      </c>
      <c r="H25" s="11" t="str">
        <f t="shared" si="6"/>
        <v>-</v>
      </c>
      <c r="I25" s="11">
        <f t="shared" si="7"/>
        <v>2.6890361684507686E-3</v>
      </c>
      <c r="J25" s="11">
        <f t="shared" si="8"/>
        <v>2.251942624231517E-3</v>
      </c>
      <c r="K25" s="11">
        <f t="shared" si="9"/>
        <v>4.9409787926822856E-3</v>
      </c>
      <c r="L25" s="13"/>
      <c r="M25" s="13"/>
      <c r="N25" s="13">
        <v>86203</v>
      </c>
      <c r="O25" s="13">
        <v>72191</v>
      </c>
      <c r="P25" s="13">
        <f t="shared" si="10"/>
        <v>158394</v>
      </c>
      <c r="Q25" s="14" t="str">
        <f t="shared" si="11"/>
        <v>0</v>
      </c>
      <c r="R25" s="14" t="str">
        <f t="shared" si="11"/>
        <v>0</v>
      </c>
      <c r="S25" s="14">
        <f t="shared" si="11"/>
        <v>133.24388440860213</v>
      </c>
      <c r="T25" s="14">
        <f t="shared" si="11"/>
        <v>111.58555107526881</v>
      </c>
      <c r="U25" s="14">
        <f t="shared" si="12"/>
        <v>244.82943548387095</v>
      </c>
    </row>
    <row r="26" spans="1:23" x14ac:dyDescent="0.25">
      <c r="A26" s="30" t="s">
        <v>20</v>
      </c>
      <c r="B26" s="11" t="str">
        <f t="shared" si="0"/>
        <v>-</v>
      </c>
      <c r="C26" s="11" t="str">
        <f t="shared" si="1"/>
        <v>-</v>
      </c>
      <c r="D26" s="11">
        <f t="shared" si="2"/>
        <v>5.4211203736573583E-3</v>
      </c>
      <c r="E26" s="11" t="str">
        <f t="shared" si="3"/>
        <v>-</v>
      </c>
      <c r="F26" s="11">
        <f t="shared" si="4"/>
        <v>5.4211203736573583E-3</v>
      </c>
      <c r="G26" s="11" t="str">
        <f t="shared" si="5"/>
        <v>-</v>
      </c>
      <c r="H26" s="11" t="str">
        <f t="shared" si="6"/>
        <v>-</v>
      </c>
      <c r="I26" s="11">
        <f t="shared" si="7"/>
        <v>5.4211203736573592E-3</v>
      </c>
      <c r="J26" s="11" t="str">
        <f t="shared" si="8"/>
        <v>-</v>
      </c>
      <c r="K26" s="11">
        <f t="shared" si="9"/>
        <v>5.4211203736573592E-3</v>
      </c>
      <c r="L26" s="13"/>
      <c r="M26" s="13"/>
      <c r="N26" s="13">
        <v>173786</v>
      </c>
      <c r="O26" s="13"/>
      <c r="P26" s="13">
        <f t="shared" si="10"/>
        <v>173786</v>
      </c>
      <c r="Q26" s="14" t="str">
        <f t="shared" si="11"/>
        <v>0</v>
      </c>
      <c r="R26" s="14" t="str">
        <f t="shared" si="11"/>
        <v>0</v>
      </c>
      <c r="S26" s="14">
        <f t="shared" si="11"/>
        <v>268.62083333333334</v>
      </c>
      <c r="T26" s="14" t="str">
        <f t="shared" si="11"/>
        <v>0</v>
      </c>
      <c r="U26" s="14">
        <f t="shared" si="12"/>
        <v>268.62083333333334</v>
      </c>
    </row>
    <row r="27" spans="1:23" x14ac:dyDescent="0.25">
      <c r="A27" s="30" t="s">
        <v>21</v>
      </c>
      <c r="B27" s="11">
        <f t="shared" si="0"/>
        <v>2.5658595142930063E-2</v>
      </c>
      <c r="C27" s="11" t="str">
        <f t="shared" si="1"/>
        <v>-</v>
      </c>
      <c r="D27" s="11">
        <f t="shared" si="2"/>
        <v>5.140715444383389E-2</v>
      </c>
      <c r="E27" s="11">
        <f t="shared" si="3"/>
        <v>1.4771497093546601E-2</v>
      </c>
      <c r="F27" s="11">
        <f t="shared" si="4"/>
        <v>9.1837246680310555E-2</v>
      </c>
      <c r="G27" s="11">
        <f t="shared" si="5"/>
        <v>2.5658595142930066E-2</v>
      </c>
      <c r="H27" s="11" t="str">
        <f t="shared" si="6"/>
        <v>-</v>
      </c>
      <c r="I27" s="11">
        <f t="shared" si="7"/>
        <v>5.1407154443833904E-2</v>
      </c>
      <c r="J27" s="11">
        <f t="shared" si="8"/>
        <v>1.4771497093546604E-2</v>
      </c>
      <c r="K27" s="11">
        <f t="shared" si="9"/>
        <v>9.1837246680310583E-2</v>
      </c>
      <c r="L27" s="13">
        <v>822543</v>
      </c>
      <c r="M27" s="13"/>
      <c r="N27" s="13">
        <v>1647970</v>
      </c>
      <c r="O27" s="13">
        <v>473533</v>
      </c>
      <c r="P27" s="13">
        <f t="shared" si="10"/>
        <v>2944046</v>
      </c>
      <c r="Q27" s="14">
        <f t="shared" si="11"/>
        <v>1271.4038306451612</v>
      </c>
      <c r="R27" s="14" t="str">
        <f t="shared" si="11"/>
        <v>0</v>
      </c>
      <c r="S27" s="14">
        <f t="shared" si="11"/>
        <v>2547.2654569892475</v>
      </c>
      <c r="T27" s="14">
        <f t="shared" si="11"/>
        <v>731.93944892473121</v>
      </c>
      <c r="U27" s="14">
        <f t="shared" si="12"/>
        <v>4550.6087365591402</v>
      </c>
    </row>
    <row r="28" spans="1:23" x14ac:dyDescent="0.25">
      <c r="A28" s="30" t="s">
        <v>22</v>
      </c>
      <c r="B28" s="11" t="str">
        <f t="shared" si="0"/>
        <v>-</v>
      </c>
      <c r="C28" s="11" t="str">
        <f t="shared" si="1"/>
        <v>-</v>
      </c>
      <c r="D28" s="11">
        <f t="shared" si="2"/>
        <v>1.8324301477771782E-2</v>
      </c>
      <c r="E28" s="11">
        <f t="shared" si="3"/>
        <v>3.0240465965226108E-2</v>
      </c>
      <c r="F28" s="11">
        <f t="shared" si="4"/>
        <v>4.856476744299789E-2</v>
      </c>
      <c r="G28" s="11" t="str">
        <f t="shared" si="5"/>
        <v>-</v>
      </c>
      <c r="H28" s="11" t="str">
        <f t="shared" si="6"/>
        <v>-</v>
      </c>
      <c r="I28" s="11">
        <f t="shared" si="7"/>
        <v>1.8324301477771785E-2</v>
      </c>
      <c r="J28" s="11">
        <f t="shared" si="8"/>
        <v>3.0240465965226108E-2</v>
      </c>
      <c r="K28" s="11">
        <f t="shared" si="9"/>
        <v>4.8564767442997897E-2</v>
      </c>
      <c r="L28" s="13"/>
      <c r="M28" s="13"/>
      <c r="N28" s="13">
        <v>587426</v>
      </c>
      <c r="O28" s="13">
        <v>969425</v>
      </c>
      <c r="P28" s="13">
        <f t="shared" si="10"/>
        <v>1556851</v>
      </c>
      <c r="Q28" s="14" t="str">
        <f t="shared" si="11"/>
        <v>0</v>
      </c>
      <c r="R28" s="14" t="str">
        <f t="shared" si="11"/>
        <v>0</v>
      </c>
      <c r="S28" s="14">
        <f t="shared" si="11"/>
        <v>907.98373655913963</v>
      </c>
      <c r="T28" s="14">
        <f t="shared" si="11"/>
        <v>1498.4391801075267</v>
      </c>
      <c r="U28" s="14">
        <f t="shared" si="12"/>
        <v>2406.4229166666664</v>
      </c>
    </row>
    <row r="29" spans="1:23" x14ac:dyDescent="0.25">
      <c r="A29" s="30" t="s">
        <v>23</v>
      </c>
      <c r="B29" s="11" t="str">
        <f t="shared" si="0"/>
        <v>-</v>
      </c>
      <c r="C29" s="11" t="str">
        <f t="shared" si="1"/>
        <v>-</v>
      </c>
      <c r="D29" s="11">
        <f t="shared" si="2"/>
        <v>7.2183447139833625E-4</v>
      </c>
      <c r="E29" s="11">
        <f t="shared" si="3"/>
        <v>2.5894641877807819E-3</v>
      </c>
      <c r="F29" s="11">
        <f t="shared" si="4"/>
        <v>3.3112986591791178E-3</v>
      </c>
      <c r="G29" s="11" t="str">
        <f t="shared" si="5"/>
        <v>-</v>
      </c>
      <c r="H29" s="11" t="str">
        <f t="shared" si="6"/>
        <v>-</v>
      </c>
      <c r="I29" s="11">
        <f t="shared" si="7"/>
        <v>7.2183447139833636E-4</v>
      </c>
      <c r="J29" s="11">
        <f t="shared" si="8"/>
        <v>2.5894641877807823E-3</v>
      </c>
      <c r="K29" s="11">
        <f t="shared" si="9"/>
        <v>3.3112986591791191E-3</v>
      </c>
      <c r="L29" s="13"/>
      <c r="M29" s="13"/>
      <c r="N29" s="13">
        <f>15480+7660</f>
        <v>23140</v>
      </c>
      <c r="O29" s="13">
        <v>83011</v>
      </c>
      <c r="P29" s="13">
        <f t="shared" si="10"/>
        <v>106151</v>
      </c>
      <c r="Q29" s="14" t="str">
        <f t="shared" si="11"/>
        <v>0</v>
      </c>
      <c r="R29" s="14" t="str">
        <f t="shared" si="11"/>
        <v>0</v>
      </c>
      <c r="S29" s="14">
        <f t="shared" si="11"/>
        <v>35.767473118279568</v>
      </c>
      <c r="T29" s="14">
        <f t="shared" si="11"/>
        <v>128.31001344086022</v>
      </c>
      <c r="U29" s="14">
        <f t="shared" si="12"/>
        <v>164.0774865591398</v>
      </c>
    </row>
    <row r="30" spans="1:23" x14ac:dyDescent="0.25">
      <c r="A30" s="30" t="s">
        <v>24</v>
      </c>
      <c r="B30" s="11">
        <f t="shared" si="0"/>
        <v>1.0514607754527476E-2</v>
      </c>
      <c r="C30" s="11" t="str">
        <f t="shared" si="1"/>
        <v>-</v>
      </c>
      <c r="D30" s="11">
        <f t="shared" si="2"/>
        <v>2.7252932214372111E-2</v>
      </c>
      <c r="E30" s="11">
        <f t="shared" si="3"/>
        <v>5.9199472981228199E-3</v>
      </c>
      <c r="F30" s="11">
        <f t="shared" si="4"/>
        <v>4.3687487267022408E-2</v>
      </c>
      <c r="G30" s="11">
        <f t="shared" si="5"/>
        <v>1.0514607754527477E-2</v>
      </c>
      <c r="H30" s="11" t="str">
        <f t="shared" si="6"/>
        <v>-</v>
      </c>
      <c r="I30" s="11">
        <f t="shared" si="7"/>
        <v>2.7252932214372114E-2</v>
      </c>
      <c r="J30" s="11">
        <f t="shared" si="8"/>
        <v>5.9199472981228199E-3</v>
      </c>
      <c r="K30" s="11">
        <f t="shared" si="9"/>
        <v>4.3687487267022415E-2</v>
      </c>
      <c r="L30" s="13">
        <v>337069</v>
      </c>
      <c r="M30" s="13"/>
      <c r="N30" s="13">
        <v>873653</v>
      </c>
      <c r="O30" s="13">
        <v>189777</v>
      </c>
      <c r="P30" s="13">
        <f t="shared" si="10"/>
        <v>1400499</v>
      </c>
      <c r="Q30" s="14">
        <f t="shared" si="11"/>
        <v>521.00719086021502</v>
      </c>
      <c r="R30" s="14" t="str">
        <f t="shared" si="11"/>
        <v>0</v>
      </c>
      <c r="S30" s="14">
        <f t="shared" si="11"/>
        <v>1350.404502688172</v>
      </c>
      <c r="T30" s="14">
        <f t="shared" si="11"/>
        <v>293.33810483870963</v>
      </c>
      <c r="U30" s="14">
        <f t="shared" si="12"/>
        <v>2164.7497983870967</v>
      </c>
    </row>
    <row r="31" spans="1:23" x14ac:dyDescent="0.25">
      <c r="A31" s="30" t="s">
        <v>56</v>
      </c>
      <c r="B31" s="11">
        <f t="shared" si="0"/>
        <v>7.368451346497139E-3</v>
      </c>
      <c r="C31" s="11" t="str">
        <f t="shared" si="1"/>
        <v>-</v>
      </c>
      <c r="D31" s="11">
        <f t="shared" si="2"/>
        <v>3.6380426164246617E-2</v>
      </c>
      <c r="E31" s="11">
        <f t="shared" si="3"/>
        <v>2.6200657269528547E-3</v>
      </c>
      <c r="F31" s="11">
        <f t="shared" si="4"/>
        <v>4.6368943237696608E-2</v>
      </c>
      <c r="G31" s="11">
        <f t="shared" si="5"/>
        <v>7.3684513464971407E-3</v>
      </c>
      <c r="H31" s="11" t="str">
        <f t="shared" si="6"/>
        <v>-</v>
      </c>
      <c r="I31" s="11">
        <f t="shared" si="7"/>
        <v>3.6380426164246617E-2</v>
      </c>
      <c r="J31" s="11">
        <f t="shared" si="8"/>
        <v>2.6200657269528551E-3</v>
      </c>
      <c r="K31" s="11">
        <f t="shared" si="9"/>
        <v>4.6368943237696615E-2</v>
      </c>
      <c r="L31" s="13">
        <v>236212</v>
      </c>
      <c r="M31" s="13"/>
      <c r="N31" s="13">
        <v>1166255</v>
      </c>
      <c r="O31" s="13">
        <v>83992</v>
      </c>
      <c r="P31" s="13">
        <f t="shared" si="10"/>
        <v>1486459</v>
      </c>
      <c r="Q31" s="14">
        <f t="shared" si="11"/>
        <v>365.11263440860216</v>
      </c>
      <c r="R31" s="14" t="str">
        <f t="shared" si="11"/>
        <v>0</v>
      </c>
      <c r="S31" s="14">
        <f t="shared" si="11"/>
        <v>1802.6790994623655</v>
      </c>
      <c r="T31" s="14">
        <f t="shared" si="11"/>
        <v>129.82634408602149</v>
      </c>
      <c r="U31" s="14">
        <f t="shared" si="12"/>
        <v>2297.6180779569891</v>
      </c>
    </row>
    <row r="32" spans="1:23" x14ac:dyDescent="0.25">
      <c r="A32" s="30" t="s">
        <v>25</v>
      </c>
      <c r="B32" s="11" t="str">
        <f t="shared" si="0"/>
        <v>-</v>
      </c>
      <c r="C32" s="11" t="str">
        <f t="shared" si="1"/>
        <v>-</v>
      </c>
      <c r="D32" s="11">
        <f t="shared" si="2"/>
        <v>4.5714831438614855E-3</v>
      </c>
      <c r="E32" s="11">
        <f t="shared" si="3"/>
        <v>6.7249143912271447E-3</v>
      </c>
      <c r="F32" s="11">
        <f t="shared" si="4"/>
        <v>1.1296397535088629E-2</v>
      </c>
      <c r="G32" s="11" t="str">
        <f t="shared" si="5"/>
        <v>-</v>
      </c>
      <c r="H32" s="11" t="str">
        <f t="shared" si="6"/>
        <v>-</v>
      </c>
      <c r="I32" s="11">
        <f t="shared" si="7"/>
        <v>4.5714831438614864E-3</v>
      </c>
      <c r="J32" s="11">
        <f t="shared" si="8"/>
        <v>6.7249143912271455E-3</v>
      </c>
      <c r="K32" s="11">
        <f t="shared" si="9"/>
        <v>1.1296397535088631E-2</v>
      </c>
      <c r="L32" s="13"/>
      <c r="M32" s="13"/>
      <c r="N32" s="13">
        <v>146549</v>
      </c>
      <c r="O32" s="13">
        <v>215582</v>
      </c>
      <c r="P32" s="13">
        <f t="shared" si="10"/>
        <v>362131</v>
      </c>
      <c r="Q32" s="14" t="str">
        <f t="shared" si="11"/>
        <v>0</v>
      </c>
      <c r="R32" s="14" t="str">
        <f t="shared" si="11"/>
        <v>0</v>
      </c>
      <c r="S32" s="14">
        <f t="shared" si="11"/>
        <v>226.52063172043009</v>
      </c>
      <c r="T32" s="14">
        <f t="shared" si="11"/>
        <v>333.22486559139782</v>
      </c>
      <c r="U32" s="14">
        <f t="shared" si="12"/>
        <v>559.74549731182788</v>
      </c>
    </row>
    <row r="33" spans="1:257" x14ac:dyDescent="0.25">
      <c r="A33" s="30" t="s">
        <v>31</v>
      </c>
      <c r="B33" s="11">
        <f t="shared" si="0"/>
        <v>2.1692841548144329E-2</v>
      </c>
      <c r="C33" s="11" t="str">
        <f t="shared" si="1"/>
        <v>-</v>
      </c>
      <c r="D33" s="11">
        <f t="shared" si="2"/>
        <v>1.7497685589371415E-2</v>
      </c>
      <c r="E33" s="11">
        <f t="shared" si="3"/>
        <v>1.9650274592539679E-2</v>
      </c>
      <c r="F33" s="11">
        <f t="shared" si="4"/>
        <v>5.8840801730055424E-2</v>
      </c>
      <c r="G33" s="11">
        <f t="shared" si="5"/>
        <v>2.1692841548144333E-2</v>
      </c>
      <c r="H33" s="11" t="str">
        <f t="shared" si="6"/>
        <v>-</v>
      </c>
      <c r="I33" s="11">
        <f t="shared" si="7"/>
        <v>1.7497685589371419E-2</v>
      </c>
      <c r="J33" s="11">
        <f t="shared" si="8"/>
        <v>1.9650274592539679E-2</v>
      </c>
      <c r="K33" s="11">
        <f t="shared" si="9"/>
        <v>5.8840801730055424E-2</v>
      </c>
      <c r="L33" s="13">
        <f>166392+529020</f>
        <v>695412</v>
      </c>
      <c r="M33" s="13"/>
      <c r="N33" s="13">
        <v>560927</v>
      </c>
      <c r="O33" s="13">
        <v>629933</v>
      </c>
      <c r="P33" s="13">
        <f t="shared" si="10"/>
        <v>1886272</v>
      </c>
      <c r="Q33" s="14">
        <f t="shared" si="11"/>
        <v>1074.8975806451613</v>
      </c>
      <c r="R33" s="14" t="str">
        <f t="shared" si="11"/>
        <v>0</v>
      </c>
      <c r="S33" s="14">
        <f t="shared" si="11"/>
        <v>867.02426075268806</v>
      </c>
      <c r="T33" s="14">
        <f t="shared" si="11"/>
        <v>973.68676075268809</v>
      </c>
      <c r="U33" s="14">
        <f t="shared" si="12"/>
        <v>2915.6086021505371</v>
      </c>
    </row>
    <row r="34" spans="1:257" x14ac:dyDescent="0.25">
      <c r="A34" s="30" t="s">
        <v>26</v>
      </c>
      <c r="B34" s="11" t="str">
        <f t="shared" si="0"/>
        <v>-</v>
      </c>
      <c r="C34" s="11" t="str">
        <f t="shared" si="1"/>
        <v>-</v>
      </c>
      <c r="D34" s="11">
        <f t="shared" si="2"/>
        <v>2.4990289969410707E-2</v>
      </c>
      <c r="E34" s="11">
        <f t="shared" si="3"/>
        <v>1.1525924675993943E-2</v>
      </c>
      <c r="F34" s="11">
        <f t="shared" si="4"/>
        <v>3.6516214645404652E-2</v>
      </c>
      <c r="G34" s="11" t="str">
        <f t="shared" si="5"/>
        <v>-</v>
      </c>
      <c r="H34" s="11" t="str">
        <f t="shared" si="6"/>
        <v>-</v>
      </c>
      <c r="I34" s="11">
        <f t="shared" si="7"/>
        <v>2.499028996941071E-2</v>
      </c>
      <c r="J34" s="11">
        <f t="shared" si="8"/>
        <v>1.1525924675993946E-2</v>
      </c>
      <c r="K34" s="11">
        <f t="shared" si="9"/>
        <v>3.6516214645404659E-2</v>
      </c>
      <c r="L34" s="13"/>
      <c r="M34" s="13"/>
      <c r="N34" s="13">
        <v>801119</v>
      </c>
      <c r="O34" s="13">
        <v>369489</v>
      </c>
      <c r="P34" s="13">
        <f t="shared" si="10"/>
        <v>1170608</v>
      </c>
      <c r="Q34" s="14" t="str">
        <f t="shared" si="11"/>
        <v>0</v>
      </c>
      <c r="R34" s="14" t="str">
        <f t="shared" si="11"/>
        <v>0</v>
      </c>
      <c r="S34" s="14">
        <f t="shared" si="11"/>
        <v>1238.2887768817204</v>
      </c>
      <c r="T34" s="14">
        <f t="shared" si="11"/>
        <v>571.11874999999998</v>
      </c>
      <c r="U34" s="14">
        <f t="shared" si="12"/>
        <v>1809.4075268817205</v>
      </c>
    </row>
    <row r="35" spans="1:257" x14ac:dyDescent="0.25">
      <c r="A35" s="30" t="s">
        <v>27</v>
      </c>
      <c r="B35" s="11" t="str">
        <f t="shared" si="0"/>
        <v>-</v>
      </c>
      <c r="C35" s="11" t="str">
        <f t="shared" si="1"/>
        <v>-</v>
      </c>
      <c r="D35" s="11">
        <f t="shared" si="2"/>
        <v>1.6994304307394105E-3</v>
      </c>
      <c r="E35" s="11">
        <f t="shared" si="3"/>
        <v>6.2164796440654559E-3</v>
      </c>
      <c r="F35" s="11">
        <f t="shared" si="4"/>
        <v>7.9159100748048654E-3</v>
      </c>
      <c r="G35" s="11" t="str">
        <f t="shared" si="5"/>
        <v>-</v>
      </c>
      <c r="H35" s="11" t="str">
        <f t="shared" si="6"/>
        <v>-</v>
      </c>
      <c r="I35" s="11">
        <f t="shared" si="7"/>
        <v>1.6994304307394105E-3</v>
      </c>
      <c r="J35" s="11">
        <f t="shared" si="8"/>
        <v>6.2164796440654568E-3</v>
      </c>
      <c r="K35" s="11">
        <f t="shared" si="9"/>
        <v>7.9159100748048671E-3</v>
      </c>
      <c r="L35" s="13"/>
      <c r="M35" s="13"/>
      <c r="N35" s="13">
        <v>54479</v>
      </c>
      <c r="O35" s="13">
        <v>199283</v>
      </c>
      <c r="P35" s="13">
        <f t="shared" si="10"/>
        <v>253762</v>
      </c>
      <c r="Q35" s="14" t="str">
        <f t="shared" si="11"/>
        <v>0</v>
      </c>
      <c r="R35" s="14" t="str">
        <f t="shared" si="11"/>
        <v>0</v>
      </c>
      <c r="S35" s="14">
        <f t="shared" si="11"/>
        <v>84.208131720430089</v>
      </c>
      <c r="T35" s="14">
        <f t="shared" si="11"/>
        <v>308.0315188172043</v>
      </c>
      <c r="U35" s="14">
        <f t="shared" si="12"/>
        <v>392.23965053763436</v>
      </c>
    </row>
    <row r="36" spans="1:257" x14ac:dyDescent="0.25">
      <c r="A36" s="30" t="s">
        <v>32</v>
      </c>
      <c r="B36" s="11" t="str">
        <f t="shared" si="0"/>
        <v>-</v>
      </c>
      <c r="C36" s="11" t="str">
        <f t="shared" si="1"/>
        <v>-</v>
      </c>
      <c r="D36" s="11">
        <f t="shared" si="2"/>
        <v>4.0671036465391129E-3</v>
      </c>
      <c r="E36" s="11">
        <f t="shared" si="3"/>
        <v>3.3232148548608021E-3</v>
      </c>
      <c r="F36" s="11">
        <f t="shared" si="4"/>
        <v>7.3903185013999154E-3</v>
      </c>
      <c r="G36" s="11" t="str">
        <f t="shared" si="5"/>
        <v>-</v>
      </c>
      <c r="H36" s="11" t="str">
        <f t="shared" si="6"/>
        <v>-</v>
      </c>
      <c r="I36" s="11">
        <f t="shared" si="7"/>
        <v>4.0671036465391138E-3</v>
      </c>
      <c r="J36" s="11">
        <f t="shared" si="8"/>
        <v>3.3232148548608025E-3</v>
      </c>
      <c r="K36" s="11">
        <f t="shared" si="9"/>
        <v>7.3903185013999171E-3</v>
      </c>
      <c r="L36" s="13"/>
      <c r="M36" s="13"/>
      <c r="N36" s="13">
        <v>130380</v>
      </c>
      <c r="O36" s="13">
        <v>106533</v>
      </c>
      <c r="P36" s="13">
        <f t="shared" si="10"/>
        <v>236913</v>
      </c>
      <c r="Q36" s="14" t="str">
        <f t="shared" si="11"/>
        <v>0</v>
      </c>
      <c r="R36" s="14" t="str">
        <f t="shared" si="11"/>
        <v>0</v>
      </c>
      <c r="S36" s="14">
        <f t="shared" si="11"/>
        <v>201.52822580645162</v>
      </c>
      <c r="T36" s="14">
        <f t="shared" si="11"/>
        <v>164.66794354838709</v>
      </c>
      <c r="U36" s="14">
        <f t="shared" si="12"/>
        <v>366.19616935483873</v>
      </c>
    </row>
    <row r="37" spans="1:257" x14ac:dyDescent="0.25">
      <c r="A37" s="30" t="s">
        <v>28</v>
      </c>
      <c r="B37" s="11" t="str">
        <f t="shared" si="0"/>
        <v>-</v>
      </c>
      <c r="C37" s="11" t="str">
        <f t="shared" si="1"/>
        <v>-</v>
      </c>
      <c r="D37" s="11">
        <f t="shared" si="2"/>
        <v>8.7930294208194912E-3</v>
      </c>
      <c r="E37" s="11">
        <f t="shared" si="3"/>
        <v>1.540523906074317E-2</v>
      </c>
      <c r="F37" s="11">
        <f t="shared" si="4"/>
        <v>2.419826848156266E-2</v>
      </c>
      <c r="G37" s="11" t="str">
        <f t="shared" si="5"/>
        <v>-</v>
      </c>
      <c r="H37" s="11" t="str">
        <f t="shared" si="6"/>
        <v>-</v>
      </c>
      <c r="I37" s="11">
        <f t="shared" si="7"/>
        <v>8.7930294208194929E-3</v>
      </c>
      <c r="J37" s="11">
        <f t="shared" si="8"/>
        <v>1.540523906074317E-2</v>
      </c>
      <c r="K37" s="11">
        <f t="shared" si="9"/>
        <v>2.4198268481562663E-2</v>
      </c>
      <c r="L37" s="13"/>
      <c r="M37" s="13"/>
      <c r="N37" s="13">
        <v>281880</v>
      </c>
      <c r="O37" s="13">
        <v>493849</v>
      </c>
      <c r="P37" s="13">
        <f t="shared" si="10"/>
        <v>775729</v>
      </c>
      <c r="Q37" s="14" t="str">
        <f t="shared" si="11"/>
        <v>0</v>
      </c>
      <c r="R37" s="14" t="str">
        <f t="shared" si="11"/>
        <v>0</v>
      </c>
      <c r="S37" s="14">
        <f t="shared" si="11"/>
        <v>435.70161290322579</v>
      </c>
      <c r="T37" s="14">
        <f t="shared" si="11"/>
        <v>763.34186827956978</v>
      </c>
      <c r="U37" s="14">
        <f t="shared" si="12"/>
        <v>1199.0434811827956</v>
      </c>
    </row>
    <row r="38" spans="1:257" x14ac:dyDescent="0.25">
      <c r="A38" s="32" t="s">
        <v>0</v>
      </c>
      <c r="B38" s="11">
        <f t="shared" ref="B38:O38" si="13">SUM(B8:B37)</f>
        <v>0.13300817067397128</v>
      </c>
      <c r="C38" s="11">
        <f t="shared" si="13"/>
        <v>0.12905324147683356</v>
      </c>
      <c r="D38" s="11">
        <f t="shared" si="13"/>
        <v>0.39958981384951459</v>
      </c>
      <c r="E38" s="11">
        <f t="shared" si="13"/>
        <v>0.3383487739996805</v>
      </c>
      <c r="F38" s="11">
        <f t="shared" si="13"/>
        <v>1.0000000000000002</v>
      </c>
      <c r="G38" s="11">
        <f t="shared" si="13"/>
        <v>0.13300817067397128</v>
      </c>
      <c r="H38" s="11">
        <f t="shared" si="13"/>
        <v>0.12905324147683359</v>
      </c>
      <c r="I38" s="11">
        <f t="shared" si="13"/>
        <v>0.3995898138495147</v>
      </c>
      <c r="J38" s="11">
        <f t="shared" si="13"/>
        <v>0.33834877399968061</v>
      </c>
      <c r="K38" s="11">
        <f t="shared" si="13"/>
        <v>1.0000000000000002</v>
      </c>
      <c r="L38" s="13">
        <f t="shared" si="13"/>
        <v>4263871</v>
      </c>
      <c r="M38" s="13">
        <f t="shared" si="13"/>
        <v>4137087</v>
      </c>
      <c r="N38" s="13">
        <f t="shared" si="13"/>
        <v>12809735</v>
      </c>
      <c r="O38" s="13">
        <f t="shared" si="13"/>
        <v>10846518.060000001</v>
      </c>
      <c r="P38" s="13">
        <f>SUM(L38:O38)</f>
        <v>32057211.060000002</v>
      </c>
      <c r="Q38" s="14">
        <f t="shared" si="11"/>
        <v>6590.6608198924732</v>
      </c>
      <c r="R38" s="14">
        <f t="shared" si="11"/>
        <v>6394.690927419354</v>
      </c>
      <c r="S38" s="14">
        <f t="shared" si="11"/>
        <v>19799.993615591397</v>
      </c>
      <c r="T38" s="14">
        <f t="shared" si="11"/>
        <v>16765.451302419355</v>
      </c>
      <c r="U38" s="14">
        <f t="shared" si="12"/>
        <v>49550.796665322574</v>
      </c>
    </row>
    <row r="39" spans="1:257" x14ac:dyDescent="0.25">
      <c r="Q39" s="14" t="str">
        <f t="shared" si="11"/>
        <v>0</v>
      </c>
      <c r="R39" s="14" t="str">
        <f t="shared" si="11"/>
        <v>0</v>
      </c>
      <c r="S39" s="14" t="str">
        <f t="shared" si="11"/>
        <v>0</v>
      </c>
      <c r="T39" s="14" t="str">
        <f t="shared" si="11"/>
        <v>0</v>
      </c>
      <c r="U39" s="14">
        <f t="shared" si="12"/>
        <v>0</v>
      </c>
    </row>
    <row r="40" spans="1:257" x14ac:dyDescent="0.25">
      <c r="A40" s="26" t="s">
        <v>46</v>
      </c>
      <c r="B40" s="2" t="s">
        <v>78</v>
      </c>
      <c r="Q40" s="6"/>
      <c r="R40" s="6"/>
      <c r="S40" s="6"/>
      <c r="T40" s="6"/>
      <c r="U40" s="6"/>
    </row>
    <row r="41" spans="1:257" x14ac:dyDescent="0.25">
      <c r="A41" s="26"/>
      <c r="B41" s="2" t="s">
        <v>79</v>
      </c>
      <c r="Q41" s="6"/>
      <c r="R41" s="6"/>
      <c r="S41" s="6"/>
      <c r="T41" s="6"/>
      <c r="U41" s="6"/>
    </row>
    <row r="42" spans="1:257" x14ac:dyDescent="0.25">
      <c r="B42" s="6" t="s">
        <v>83</v>
      </c>
      <c r="Q42" s="6"/>
      <c r="R42" s="6"/>
      <c r="S42" s="6"/>
      <c r="T42" s="6"/>
      <c r="U42" s="6"/>
    </row>
    <row r="43" spans="1:257" s="2" customFormat="1" x14ac:dyDescent="0.25">
      <c r="B43" s="2" t="s">
        <v>82</v>
      </c>
      <c r="Q43" s="14" t="str">
        <f t="shared" ref="Q43:T43" si="14">IF(L43/744*1.15=0,"0",L43/744*1.15)</f>
        <v>0</v>
      </c>
      <c r="R43" s="14" t="str">
        <f t="shared" si="14"/>
        <v>0</v>
      </c>
      <c r="S43" s="14" t="str">
        <f t="shared" si="14"/>
        <v>0</v>
      </c>
      <c r="T43" s="14" t="str">
        <f t="shared" si="14"/>
        <v>0</v>
      </c>
      <c r="U43" s="14">
        <f t="shared" ref="U43" si="15">Q43+R43+S43+T43</f>
        <v>0</v>
      </c>
    </row>
    <row r="47" spans="1:257" s="2" customFormat="1" x14ac:dyDescent="0.25"/>
    <row r="48" spans="1:257" s="2" customFormat="1" ht="15.75" x14ac:dyDescent="0.25">
      <c r="A48" s="27" t="s">
        <v>76</v>
      </c>
      <c r="B48" s="33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  <c r="GA48" s="25"/>
      <c r="GB48" s="25"/>
      <c r="GC48" s="25"/>
      <c r="GD48" s="25"/>
      <c r="GE48" s="25"/>
      <c r="GF48" s="25"/>
      <c r="GG48" s="25"/>
      <c r="GH48" s="25"/>
      <c r="GI48" s="25"/>
      <c r="GJ48" s="25"/>
      <c r="GK48" s="25"/>
      <c r="GL48" s="25"/>
      <c r="GM48" s="25"/>
      <c r="GN48" s="25"/>
      <c r="GO48" s="25"/>
      <c r="GP48" s="25"/>
      <c r="GQ48" s="25"/>
      <c r="GR48" s="25"/>
      <c r="GS48" s="25"/>
      <c r="GT48" s="25"/>
      <c r="GU48" s="25"/>
      <c r="GV48" s="25"/>
      <c r="GW48" s="25"/>
      <c r="GX48" s="25"/>
      <c r="GY48" s="25"/>
      <c r="GZ48" s="25"/>
      <c r="HA48" s="25"/>
      <c r="HB48" s="25"/>
      <c r="HC48" s="25"/>
      <c r="HD48" s="25"/>
      <c r="HE48" s="25"/>
      <c r="HF48" s="25"/>
      <c r="HG48" s="25"/>
      <c r="HH48" s="25"/>
      <c r="HI48" s="25"/>
      <c r="HJ48" s="25"/>
      <c r="HK48" s="25"/>
      <c r="HL48" s="25"/>
      <c r="HM48" s="25"/>
      <c r="HN48" s="25"/>
      <c r="HO48" s="25"/>
      <c r="HP48" s="25"/>
      <c r="HQ48" s="25"/>
      <c r="HR48" s="25"/>
      <c r="HS48" s="25"/>
      <c r="HT48" s="25"/>
      <c r="HU48" s="25"/>
      <c r="HV48" s="25"/>
      <c r="HW48" s="25"/>
      <c r="HX48" s="25"/>
      <c r="HY48" s="25"/>
      <c r="HZ48" s="25"/>
      <c r="IA48" s="25"/>
      <c r="IB48" s="25"/>
      <c r="IC48" s="25"/>
      <c r="ID48" s="25"/>
      <c r="IE48" s="25"/>
      <c r="IF48" s="25"/>
      <c r="IG48" s="25"/>
      <c r="IH48" s="25"/>
      <c r="II48" s="25"/>
      <c r="IJ48" s="25"/>
      <c r="IK48" s="25"/>
      <c r="IL48" s="25"/>
      <c r="IM48" s="25"/>
      <c r="IN48" s="25"/>
      <c r="IO48" s="25"/>
      <c r="IP48" s="25"/>
      <c r="IQ48" s="25"/>
      <c r="IR48" s="25"/>
      <c r="IS48" s="25"/>
      <c r="IT48" s="25"/>
      <c r="IU48" s="25"/>
      <c r="IV48" s="25"/>
      <c r="IW48" s="25"/>
    </row>
    <row r="49" spans="1:257" s="2" customFormat="1" ht="15.75" x14ac:dyDescent="0.25">
      <c r="A49" s="27"/>
      <c r="B49" s="33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5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  <c r="GA49" s="25"/>
      <c r="GB49" s="25"/>
      <c r="GC49" s="25"/>
      <c r="GD49" s="25"/>
      <c r="GE49" s="25"/>
      <c r="GF49" s="25"/>
      <c r="GG49" s="25"/>
      <c r="GH49" s="25"/>
      <c r="GI49" s="25"/>
      <c r="GJ49" s="25"/>
      <c r="GK49" s="25"/>
      <c r="GL49" s="25"/>
      <c r="GM49" s="25"/>
      <c r="GN49" s="25"/>
      <c r="GO49" s="25"/>
      <c r="GP49" s="25"/>
      <c r="GQ49" s="25"/>
      <c r="GR49" s="25"/>
      <c r="GS49" s="25"/>
      <c r="GT49" s="25"/>
      <c r="GU49" s="25"/>
      <c r="GV49" s="25"/>
      <c r="GW49" s="25"/>
      <c r="GX49" s="25"/>
      <c r="GY49" s="25"/>
      <c r="GZ49" s="25"/>
      <c r="HA49" s="25"/>
      <c r="HB49" s="25"/>
      <c r="HC49" s="25"/>
      <c r="HD49" s="25"/>
      <c r="HE49" s="25"/>
      <c r="HF49" s="25"/>
      <c r="HG49" s="25"/>
      <c r="HH49" s="25"/>
      <c r="HI49" s="25"/>
      <c r="HJ49" s="25"/>
      <c r="HK49" s="25"/>
      <c r="HL49" s="25"/>
      <c r="HM49" s="25"/>
      <c r="HN49" s="25"/>
      <c r="HO49" s="25"/>
      <c r="HP49" s="25"/>
      <c r="HQ49" s="25"/>
      <c r="HR49" s="25"/>
      <c r="HS49" s="25"/>
      <c r="HT49" s="25"/>
      <c r="HU49" s="25"/>
      <c r="HV49" s="25"/>
      <c r="HW49" s="25"/>
      <c r="HX49" s="25"/>
      <c r="HY49" s="25"/>
      <c r="HZ49" s="25"/>
      <c r="IA49" s="25"/>
      <c r="IB49" s="25"/>
      <c r="IC49" s="25"/>
      <c r="ID49" s="25"/>
      <c r="IE49" s="25"/>
      <c r="IF49" s="25"/>
      <c r="IG49" s="25"/>
      <c r="IH49" s="25"/>
      <c r="II49" s="25"/>
      <c r="IJ49" s="25"/>
      <c r="IK49" s="25"/>
      <c r="IL49" s="25"/>
      <c r="IM49" s="25"/>
      <c r="IN49" s="25"/>
      <c r="IO49" s="25"/>
      <c r="IP49" s="25"/>
      <c r="IQ49" s="25"/>
      <c r="IR49" s="25"/>
      <c r="IS49" s="25"/>
      <c r="IT49" s="25"/>
      <c r="IU49" s="25"/>
      <c r="IV49" s="25"/>
      <c r="IW49" s="25"/>
    </row>
    <row r="50" spans="1:257" s="2" customFormat="1" ht="15.75" x14ac:dyDescent="0.25">
      <c r="A50" s="27" t="s">
        <v>77</v>
      </c>
      <c r="B50" s="33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  <c r="IK50" s="25"/>
      <c r="IL50" s="25"/>
      <c r="IM50" s="25"/>
      <c r="IN50" s="25"/>
      <c r="IO50" s="25"/>
      <c r="IP50" s="25"/>
      <c r="IQ50" s="25"/>
      <c r="IR50" s="25"/>
      <c r="IS50" s="25"/>
      <c r="IT50" s="25"/>
      <c r="IU50" s="25"/>
      <c r="IV50" s="25"/>
      <c r="IW50" s="25"/>
    </row>
  </sheetData>
  <mergeCells count="7">
    <mergeCell ref="Q5:U6"/>
    <mergeCell ref="A2:K2"/>
    <mergeCell ref="A3:K3"/>
    <mergeCell ref="A5:A6"/>
    <mergeCell ref="B5:F6"/>
    <mergeCell ref="G5:K6"/>
    <mergeCell ref="L5:P6"/>
  </mergeCells>
  <pageMargins left="0.7" right="0.7" top="0.75" bottom="0.75" header="0.3" footer="0.3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W51"/>
  <sheetViews>
    <sheetView view="pageBreakPreview" topLeftCell="A28" zoomScaleNormal="100" zoomScaleSheetLayoutView="100" workbookViewId="0">
      <selection activeCell="K31" sqref="K1:AA1048576"/>
    </sheetView>
  </sheetViews>
  <sheetFormatPr defaultRowHeight="15" x14ac:dyDescent="0.25"/>
  <cols>
    <col min="1" max="1" width="38" style="6" customWidth="1"/>
    <col min="2" max="13" width="9.140625" style="6" customWidth="1"/>
    <col min="14" max="14" width="9.85546875" style="6" customWidth="1"/>
    <col min="15" max="15" width="10.140625" style="6" customWidth="1"/>
    <col min="16" max="16" width="10" style="6" customWidth="1"/>
    <col min="17" max="21" width="9.140625" style="28" customWidth="1"/>
    <col min="22" max="26" width="9.140625" style="6" customWidth="1"/>
    <col min="27" max="16384" width="9.140625" style="6"/>
  </cols>
  <sheetData>
    <row r="1" spans="1:21" ht="15.75" x14ac:dyDescent="0.25">
      <c r="J1" s="59" t="s">
        <v>100</v>
      </c>
    </row>
    <row r="2" spans="1:21" ht="15.75" x14ac:dyDescent="0.25">
      <c r="A2" s="67" t="s">
        <v>33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21" ht="15.75" x14ac:dyDescent="0.25">
      <c r="A3" s="67" t="s">
        <v>62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21" x14ac:dyDescent="0.25">
      <c r="A4" s="18" t="s">
        <v>34</v>
      </c>
      <c r="B4" s="4"/>
      <c r="C4" s="4"/>
      <c r="D4" s="4"/>
      <c r="E4" s="4"/>
      <c r="F4" s="5"/>
      <c r="K4" s="7"/>
    </row>
    <row r="5" spans="1:21" x14ac:dyDescent="0.25">
      <c r="A5" s="68" t="s">
        <v>35</v>
      </c>
      <c r="B5" s="66" t="s">
        <v>29</v>
      </c>
      <c r="C5" s="66"/>
      <c r="D5" s="66"/>
      <c r="E5" s="66"/>
      <c r="F5" s="66"/>
      <c r="G5" s="66" t="s">
        <v>36</v>
      </c>
      <c r="H5" s="66"/>
      <c r="I5" s="66"/>
      <c r="J5" s="66"/>
      <c r="K5" s="66"/>
      <c r="L5" s="66" t="s">
        <v>42</v>
      </c>
      <c r="M5" s="66"/>
      <c r="N5" s="66"/>
      <c r="O5" s="66"/>
      <c r="P5" s="66"/>
      <c r="Q5" s="66" t="s">
        <v>43</v>
      </c>
      <c r="R5" s="66"/>
      <c r="S5" s="66"/>
      <c r="T5" s="66"/>
      <c r="U5" s="66"/>
    </row>
    <row r="6" spans="1:21" x14ac:dyDescent="0.25">
      <c r="A6" s="69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</row>
    <row r="7" spans="1:21" x14ac:dyDescent="0.25">
      <c r="A7" s="29" t="s">
        <v>37</v>
      </c>
      <c r="B7" s="9" t="s">
        <v>1</v>
      </c>
      <c r="C7" s="9" t="s">
        <v>39</v>
      </c>
      <c r="D7" s="9" t="s">
        <v>40</v>
      </c>
      <c r="E7" s="9" t="s">
        <v>2</v>
      </c>
      <c r="F7" s="9" t="s">
        <v>41</v>
      </c>
      <c r="G7" s="9" t="s">
        <v>1</v>
      </c>
      <c r="H7" s="9" t="s">
        <v>39</v>
      </c>
      <c r="I7" s="9" t="s">
        <v>40</v>
      </c>
      <c r="J7" s="9" t="s">
        <v>2</v>
      </c>
      <c r="K7" s="9" t="s">
        <v>41</v>
      </c>
      <c r="L7" s="9" t="s">
        <v>1</v>
      </c>
      <c r="M7" s="9" t="s">
        <v>39</v>
      </c>
      <c r="N7" s="9" t="s">
        <v>40</v>
      </c>
      <c r="O7" s="9" t="s">
        <v>2</v>
      </c>
      <c r="P7" s="9" t="s">
        <v>41</v>
      </c>
      <c r="Q7" s="9" t="s">
        <v>1</v>
      </c>
      <c r="R7" s="9" t="s">
        <v>39</v>
      </c>
      <c r="S7" s="9" t="s">
        <v>40</v>
      </c>
      <c r="T7" s="9" t="s">
        <v>2</v>
      </c>
      <c r="U7" s="9" t="s">
        <v>41</v>
      </c>
    </row>
    <row r="8" spans="1:21" x14ac:dyDescent="0.25">
      <c r="A8" s="30" t="s">
        <v>3</v>
      </c>
      <c r="B8" s="11">
        <f t="shared" ref="B8:B38" si="0">IF(L8/$P$39=0,"-",L8/$P$39)</f>
        <v>6.9071284979971975E-3</v>
      </c>
      <c r="C8" s="11" t="str">
        <f t="shared" ref="C8:C38" si="1">IF(M8/$P$39=0,"-",M8/$P$39)</f>
        <v>-</v>
      </c>
      <c r="D8" s="11" t="str">
        <f t="shared" ref="D8:D38" si="2">IF(N8/$P$39=0,"-",N8/$P$39)</f>
        <v>-</v>
      </c>
      <c r="E8" s="11" t="str">
        <f t="shared" ref="E8:E38" si="3">IF(O8/$P$39=0,"-",O8/$P$39)</f>
        <v>-</v>
      </c>
      <c r="F8" s="11">
        <f t="shared" ref="F8:F38" si="4">P8/$P$39</f>
        <v>6.9071284979971975E-3</v>
      </c>
      <c r="G8" s="11">
        <f t="shared" ref="G8:G38" si="5">IF(Q8/$U$39=0,"-",Q8/$U$39)</f>
        <v>6.9071284979971958E-3</v>
      </c>
      <c r="H8" s="11" t="str">
        <f t="shared" ref="H8:H38" si="6">IF(R8/$U$39=0,"-",R8/$U$39)</f>
        <v>-</v>
      </c>
      <c r="I8" s="11" t="str">
        <f t="shared" ref="I8:I38" si="7">IF(S8/$U$39=0,"-",S8/$U$39)</f>
        <v>-</v>
      </c>
      <c r="J8" s="11" t="str">
        <f t="shared" ref="J8:J38" si="8">IF(T8/$U$39=0,"-",T8/$U$39)</f>
        <v>-</v>
      </c>
      <c r="K8" s="11">
        <f t="shared" ref="K8:K38" si="9">IF(U8/$U$39=0,"-",U8/$U$39)</f>
        <v>6.9071284979971958E-3</v>
      </c>
      <c r="L8" s="13">
        <v>245542</v>
      </c>
      <c r="M8" s="13"/>
      <c r="N8" s="13"/>
      <c r="O8" s="13"/>
      <c r="P8" s="13">
        <f t="shared" ref="P8:P38" si="10">SUM(L8:O8)</f>
        <v>245542</v>
      </c>
      <c r="Q8" s="14">
        <f t="shared" ref="Q8:T40" si="11">IF(L8/744*1.15=0,"0",L8/744*1.15)</f>
        <v>379.534005376344</v>
      </c>
      <c r="R8" s="14" t="str">
        <f t="shared" si="11"/>
        <v>0</v>
      </c>
      <c r="S8" s="14" t="str">
        <f t="shared" si="11"/>
        <v>0</v>
      </c>
      <c r="T8" s="14" t="str">
        <f t="shared" si="11"/>
        <v>0</v>
      </c>
      <c r="U8" s="14">
        <f t="shared" ref="U8:U40" si="12">Q8+R8+S8+T8</f>
        <v>379.534005376344</v>
      </c>
    </row>
    <row r="9" spans="1:21" x14ac:dyDescent="0.25">
      <c r="A9" s="30" t="s">
        <v>4</v>
      </c>
      <c r="B9" s="11" t="str">
        <f t="shared" si="0"/>
        <v>-</v>
      </c>
      <c r="C9" s="11" t="str">
        <f t="shared" si="1"/>
        <v>-</v>
      </c>
      <c r="D9" s="11">
        <f t="shared" si="2"/>
        <v>2.2733308686088079E-2</v>
      </c>
      <c r="E9" s="11">
        <f t="shared" si="3"/>
        <v>1.5863396350714182E-2</v>
      </c>
      <c r="F9" s="11">
        <f t="shared" si="4"/>
        <v>3.8596705036802258E-2</v>
      </c>
      <c r="G9" s="11" t="str">
        <f t="shared" si="5"/>
        <v>-</v>
      </c>
      <c r="H9" s="11" t="str">
        <f t="shared" si="6"/>
        <v>-</v>
      </c>
      <c r="I9" s="11">
        <f t="shared" si="7"/>
        <v>2.2733308686088076E-2</v>
      </c>
      <c r="J9" s="11">
        <f t="shared" si="8"/>
        <v>1.5863396350714178E-2</v>
      </c>
      <c r="K9" s="11">
        <f t="shared" si="9"/>
        <v>3.8596705036802258E-2</v>
      </c>
      <c r="L9" s="13"/>
      <c r="M9" s="13"/>
      <c r="N9" s="13">
        <v>808148</v>
      </c>
      <c r="O9" s="13">
        <v>563929</v>
      </c>
      <c r="P9" s="13">
        <f t="shared" si="10"/>
        <v>1372077</v>
      </c>
      <c r="Q9" s="14" t="str">
        <f t="shared" si="11"/>
        <v>0</v>
      </c>
      <c r="R9" s="14" t="str">
        <f t="shared" si="11"/>
        <v>0</v>
      </c>
      <c r="S9" s="14">
        <f t="shared" si="11"/>
        <v>1249.1534946236559</v>
      </c>
      <c r="T9" s="14">
        <f t="shared" si="11"/>
        <v>871.66444892473112</v>
      </c>
      <c r="U9" s="14">
        <f t="shared" si="12"/>
        <v>2120.8179435483871</v>
      </c>
    </row>
    <row r="10" spans="1:21" x14ac:dyDescent="0.25">
      <c r="A10" s="30" t="s">
        <v>51</v>
      </c>
      <c r="B10" s="11" t="str">
        <f t="shared" si="0"/>
        <v>-</v>
      </c>
      <c r="C10" s="11" t="str">
        <f t="shared" si="1"/>
        <v>-</v>
      </c>
      <c r="D10" s="11">
        <f t="shared" si="2"/>
        <v>1.9452519698489559E-2</v>
      </c>
      <c r="E10" s="11">
        <f t="shared" si="3"/>
        <v>1.2974375690292306E-2</v>
      </c>
      <c r="F10" s="11">
        <f t="shared" si="4"/>
        <v>3.2426895388781865E-2</v>
      </c>
      <c r="G10" s="11" t="str">
        <f t="shared" si="5"/>
        <v>-</v>
      </c>
      <c r="H10" s="11" t="str">
        <f t="shared" si="6"/>
        <v>-</v>
      </c>
      <c r="I10" s="11">
        <f t="shared" si="7"/>
        <v>1.9452519698489559E-2</v>
      </c>
      <c r="J10" s="11">
        <f t="shared" si="8"/>
        <v>1.2974375690292302E-2</v>
      </c>
      <c r="K10" s="11">
        <f t="shared" si="9"/>
        <v>3.2426895388781865E-2</v>
      </c>
      <c r="L10" s="13"/>
      <c r="M10" s="13"/>
      <c r="N10" s="13">
        <v>691519</v>
      </c>
      <c r="O10" s="13">
        <v>461227</v>
      </c>
      <c r="P10" s="13">
        <f t="shared" si="10"/>
        <v>1152746</v>
      </c>
      <c r="Q10" s="14" t="str">
        <f t="shared" si="11"/>
        <v>0</v>
      </c>
      <c r="R10" s="14" t="str">
        <f t="shared" si="11"/>
        <v>0</v>
      </c>
      <c r="S10" s="14">
        <f t="shared" si="11"/>
        <v>1068.8801747311827</v>
      </c>
      <c r="T10" s="14">
        <f t="shared" si="11"/>
        <v>712.91807795698912</v>
      </c>
      <c r="U10" s="14">
        <f t="shared" si="12"/>
        <v>1781.7982526881719</v>
      </c>
    </row>
    <row r="11" spans="1:21" x14ac:dyDescent="0.25">
      <c r="A11" s="30" t="s">
        <v>6</v>
      </c>
      <c r="B11" s="11" t="str">
        <f t="shared" si="0"/>
        <v>-</v>
      </c>
      <c r="C11" s="11" t="str">
        <f t="shared" si="1"/>
        <v>-</v>
      </c>
      <c r="D11" s="11">
        <f t="shared" si="2"/>
        <v>3.4581775903971029E-3</v>
      </c>
      <c r="E11" s="11">
        <f t="shared" si="3"/>
        <v>9.0410520659797398E-3</v>
      </c>
      <c r="F11" s="11">
        <f t="shared" si="4"/>
        <v>1.2499229656376842E-2</v>
      </c>
      <c r="G11" s="11" t="str">
        <f t="shared" si="5"/>
        <v>-</v>
      </c>
      <c r="H11" s="11" t="str">
        <f t="shared" si="6"/>
        <v>-</v>
      </c>
      <c r="I11" s="11">
        <f t="shared" si="7"/>
        <v>3.4581775903971029E-3</v>
      </c>
      <c r="J11" s="11">
        <f t="shared" si="8"/>
        <v>9.0410520659797398E-3</v>
      </c>
      <c r="K11" s="11">
        <f t="shared" si="9"/>
        <v>1.2499229656376841E-2</v>
      </c>
      <c r="L11" s="13"/>
      <c r="M11" s="13"/>
      <c r="N11" s="13">
        <v>122935</v>
      </c>
      <c r="O11" s="13">
        <v>321401</v>
      </c>
      <c r="P11" s="13">
        <f t="shared" si="10"/>
        <v>444336</v>
      </c>
      <c r="Q11" s="14" t="str">
        <f t="shared" si="11"/>
        <v>0</v>
      </c>
      <c r="R11" s="14" t="str">
        <f t="shared" si="11"/>
        <v>0</v>
      </c>
      <c r="S11" s="14">
        <f t="shared" si="11"/>
        <v>190.02049731182797</v>
      </c>
      <c r="T11" s="14">
        <f t="shared" si="11"/>
        <v>496.78918010752687</v>
      </c>
      <c r="U11" s="14">
        <f t="shared" si="12"/>
        <v>686.80967741935478</v>
      </c>
    </row>
    <row r="12" spans="1:21" x14ac:dyDescent="0.25">
      <c r="A12" s="30" t="s">
        <v>52</v>
      </c>
      <c r="B12" s="11">
        <f t="shared" si="0"/>
        <v>4.5568167143204205E-2</v>
      </c>
      <c r="C12" s="11">
        <f t="shared" si="1"/>
        <v>0.16722071396589078</v>
      </c>
      <c r="D12" s="11">
        <f t="shared" si="2"/>
        <v>1.8085873569443623E-2</v>
      </c>
      <c r="E12" s="11">
        <f t="shared" si="3"/>
        <v>4.9789453287200976E-2</v>
      </c>
      <c r="F12" s="11">
        <f t="shared" si="4"/>
        <v>0.2806642079657396</v>
      </c>
      <c r="G12" s="11">
        <f t="shared" si="5"/>
        <v>4.5568167143204198E-2</v>
      </c>
      <c r="H12" s="11">
        <f t="shared" si="6"/>
        <v>0.16722071396589078</v>
      </c>
      <c r="I12" s="11">
        <f t="shared" si="7"/>
        <v>1.808587356944362E-2</v>
      </c>
      <c r="J12" s="11">
        <f t="shared" si="8"/>
        <v>4.9789453287200962E-2</v>
      </c>
      <c r="K12" s="11">
        <f t="shared" si="9"/>
        <v>0.2806642079657396</v>
      </c>
      <c r="L12" s="13">
        <v>1619906</v>
      </c>
      <c r="M12" s="13">
        <v>5944541</v>
      </c>
      <c r="N12" s="13">
        <v>642936</v>
      </c>
      <c r="O12" s="13">
        <v>1769968.8</v>
      </c>
      <c r="P12" s="13">
        <f t="shared" si="10"/>
        <v>9977351.8000000007</v>
      </c>
      <c r="Q12" s="14">
        <f t="shared" si="11"/>
        <v>2503.886962365591</v>
      </c>
      <c r="R12" s="14">
        <f t="shared" si="11"/>
        <v>9188.4706317204291</v>
      </c>
      <c r="S12" s="14">
        <f t="shared" si="11"/>
        <v>993.7854838709676</v>
      </c>
      <c r="T12" s="14">
        <f t="shared" si="11"/>
        <v>2735.8388709677415</v>
      </c>
      <c r="U12" s="14">
        <f t="shared" si="12"/>
        <v>15421.981948924731</v>
      </c>
    </row>
    <row r="13" spans="1:21" x14ac:dyDescent="0.25">
      <c r="A13" s="30" t="s">
        <v>9</v>
      </c>
      <c r="B13" s="11" t="str">
        <f t="shared" si="0"/>
        <v>-</v>
      </c>
      <c r="C13" s="11" t="str">
        <f t="shared" si="1"/>
        <v>-</v>
      </c>
      <c r="D13" s="11">
        <f t="shared" si="2"/>
        <v>5.2170983889682993E-3</v>
      </c>
      <c r="E13" s="11">
        <f t="shared" si="3"/>
        <v>5.663157867968803E-3</v>
      </c>
      <c r="F13" s="11">
        <f t="shared" si="4"/>
        <v>1.0880256256937101E-2</v>
      </c>
      <c r="G13" s="11" t="str">
        <f t="shared" si="5"/>
        <v>-</v>
      </c>
      <c r="H13" s="11" t="str">
        <f t="shared" si="6"/>
        <v>-</v>
      </c>
      <c r="I13" s="11">
        <f t="shared" si="7"/>
        <v>5.2170983889682993E-3</v>
      </c>
      <c r="J13" s="11">
        <f t="shared" si="8"/>
        <v>5.6631578679688013E-3</v>
      </c>
      <c r="K13" s="11">
        <f t="shared" si="9"/>
        <v>1.0880256256937101E-2</v>
      </c>
      <c r="L13" s="13"/>
      <c r="M13" s="13"/>
      <c r="N13" s="13">
        <v>185463</v>
      </c>
      <c r="O13" s="13">
        <v>201320</v>
      </c>
      <c r="P13" s="13">
        <f t="shared" si="10"/>
        <v>386783</v>
      </c>
      <c r="Q13" s="14" t="str">
        <f t="shared" si="11"/>
        <v>0</v>
      </c>
      <c r="R13" s="14" t="str">
        <f t="shared" si="11"/>
        <v>0</v>
      </c>
      <c r="S13" s="14">
        <f t="shared" si="11"/>
        <v>286.66995967741934</v>
      </c>
      <c r="T13" s="14">
        <f t="shared" si="11"/>
        <v>311.18010752688167</v>
      </c>
      <c r="U13" s="14">
        <f t="shared" si="12"/>
        <v>597.85006720430101</v>
      </c>
    </row>
    <row r="14" spans="1:21" x14ac:dyDescent="0.25">
      <c r="A14" s="30" t="s">
        <v>10</v>
      </c>
      <c r="B14" s="11" t="str">
        <f t="shared" si="0"/>
        <v>-</v>
      </c>
      <c r="C14" s="11" t="str">
        <f t="shared" si="1"/>
        <v>-</v>
      </c>
      <c r="D14" s="11">
        <f t="shared" si="2"/>
        <v>1.4034375266990102E-2</v>
      </c>
      <c r="E14" s="11">
        <f t="shared" si="3"/>
        <v>7.7148570645621493E-3</v>
      </c>
      <c r="F14" s="11">
        <f t="shared" si="4"/>
        <v>2.1749232331552251E-2</v>
      </c>
      <c r="G14" s="11" t="str">
        <f t="shared" si="5"/>
        <v>-</v>
      </c>
      <c r="H14" s="11" t="str">
        <f t="shared" si="6"/>
        <v>-</v>
      </c>
      <c r="I14" s="11">
        <f t="shared" si="7"/>
        <v>1.40343752669901E-2</v>
      </c>
      <c r="J14" s="11">
        <f t="shared" si="8"/>
        <v>7.7148570645621485E-3</v>
      </c>
      <c r="K14" s="11">
        <f t="shared" si="9"/>
        <v>2.1749232331552248E-2</v>
      </c>
      <c r="L14" s="13"/>
      <c r="M14" s="13"/>
      <c r="N14" s="13">
        <v>498909</v>
      </c>
      <c r="O14" s="13">
        <v>274256</v>
      </c>
      <c r="P14" s="13">
        <f t="shared" si="10"/>
        <v>773165</v>
      </c>
      <c r="Q14" s="14" t="str">
        <f t="shared" si="11"/>
        <v>0</v>
      </c>
      <c r="R14" s="14" t="str">
        <f t="shared" si="11"/>
        <v>0</v>
      </c>
      <c r="S14" s="14">
        <f t="shared" si="11"/>
        <v>771.16310483870961</v>
      </c>
      <c r="T14" s="14">
        <f t="shared" si="11"/>
        <v>423.91720430107523</v>
      </c>
      <c r="U14" s="14">
        <f t="shared" si="12"/>
        <v>1195.0803091397847</v>
      </c>
    </row>
    <row r="15" spans="1:21" x14ac:dyDescent="0.25">
      <c r="A15" s="30" t="s">
        <v>12</v>
      </c>
      <c r="B15" s="11" t="str">
        <f t="shared" si="0"/>
        <v>-</v>
      </c>
      <c r="C15" s="11" t="str">
        <f t="shared" si="1"/>
        <v>-</v>
      </c>
      <c r="D15" s="11">
        <f t="shared" si="2"/>
        <v>5.3308285064936215E-3</v>
      </c>
      <c r="E15" s="11">
        <f t="shared" si="3"/>
        <v>2.9305688631388925E-3</v>
      </c>
      <c r="F15" s="11">
        <f t="shared" si="4"/>
        <v>8.261397369632514E-3</v>
      </c>
      <c r="G15" s="11" t="str">
        <f t="shared" si="5"/>
        <v>-</v>
      </c>
      <c r="H15" s="11" t="str">
        <f t="shared" si="6"/>
        <v>-</v>
      </c>
      <c r="I15" s="11">
        <f t="shared" si="7"/>
        <v>5.3308285064936206E-3</v>
      </c>
      <c r="J15" s="11">
        <f t="shared" si="8"/>
        <v>2.9305688631388925E-3</v>
      </c>
      <c r="K15" s="11">
        <f t="shared" si="9"/>
        <v>8.261397369632514E-3</v>
      </c>
      <c r="L15" s="13"/>
      <c r="M15" s="13"/>
      <c r="N15" s="13">
        <v>189506</v>
      </c>
      <c r="O15" s="13">
        <v>104179</v>
      </c>
      <c r="P15" s="13">
        <f t="shared" si="10"/>
        <v>293685</v>
      </c>
      <c r="Q15" s="14" t="str">
        <f t="shared" si="11"/>
        <v>0</v>
      </c>
      <c r="R15" s="14" t="str">
        <f t="shared" si="11"/>
        <v>0</v>
      </c>
      <c r="S15" s="14">
        <f t="shared" si="11"/>
        <v>292.91922043010749</v>
      </c>
      <c r="T15" s="14">
        <f t="shared" si="11"/>
        <v>161.02936827956989</v>
      </c>
      <c r="U15" s="14">
        <f t="shared" si="12"/>
        <v>453.94858870967738</v>
      </c>
    </row>
    <row r="16" spans="1:21" x14ac:dyDescent="0.25">
      <c r="A16" s="30" t="s">
        <v>13</v>
      </c>
      <c r="B16" s="11">
        <f t="shared" si="0"/>
        <v>1.6722462405402733E-2</v>
      </c>
      <c r="C16" s="11" t="str">
        <f t="shared" si="1"/>
        <v>-</v>
      </c>
      <c r="D16" s="11">
        <f t="shared" si="2"/>
        <v>4.8688755037726615E-3</v>
      </c>
      <c r="E16" s="11">
        <f t="shared" si="3"/>
        <v>7.6875708379978251E-3</v>
      </c>
      <c r="F16" s="11">
        <f t="shared" si="4"/>
        <v>2.9278908747173218E-2</v>
      </c>
      <c r="G16" s="11">
        <f t="shared" si="5"/>
        <v>1.6722462405402729E-2</v>
      </c>
      <c r="H16" s="11" t="str">
        <f t="shared" si="6"/>
        <v>-</v>
      </c>
      <c r="I16" s="11">
        <f t="shared" si="7"/>
        <v>4.8688755037726607E-3</v>
      </c>
      <c r="J16" s="11">
        <f t="shared" si="8"/>
        <v>7.6875708379978243E-3</v>
      </c>
      <c r="K16" s="11">
        <f t="shared" si="9"/>
        <v>2.9278908747173215E-2</v>
      </c>
      <c r="L16" s="13">
        <v>594468</v>
      </c>
      <c r="M16" s="13"/>
      <c r="N16" s="13">
        <v>173084</v>
      </c>
      <c r="O16" s="13">
        <v>273286</v>
      </c>
      <c r="P16" s="13">
        <f t="shared" si="10"/>
        <v>1040838</v>
      </c>
      <c r="Q16" s="14">
        <f t="shared" si="11"/>
        <v>918.86854838709667</v>
      </c>
      <c r="R16" s="14" t="str">
        <f t="shared" si="11"/>
        <v>0</v>
      </c>
      <c r="S16" s="14">
        <f t="shared" si="11"/>
        <v>267.53575268817201</v>
      </c>
      <c r="T16" s="14">
        <f t="shared" si="11"/>
        <v>422.41787634408598</v>
      </c>
      <c r="U16" s="14">
        <f t="shared" si="12"/>
        <v>1608.8221774193546</v>
      </c>
    </row>
    <row r="17" spans="1:23" x14ac:dyDescent="0.25">
      <c r="A17" s="30" t="s">
        <v>14</v>
      </c>
      <c r="B17" s="11" t="str">
        <f t="shared" si="0"/>
        <v>-</v>
      </c>
      <c r="C17" s="11" t="str">
        <f t="shared" si="1"/>
        <v>-</v>
      </c>
      <c r="D17" s="11">
        <f t="shared" si="2"/>
        <v>1.6991555233561832E-2</v>
      </c>
      <c r="E17" s="11">
        <f t="shared" si="3"/>
        <v>1.7754388111882801E-2</v>
      </c>
      <c r="F17" s="11">
        <f t="shared" si="4"/>
        <v>3.4745943345444633E-2</v>
      </c>
      <c r="G17" s="11" t="str">
        <f t="shared" si="5"/>
        <v>-</v>
      </c>
      <c r="H17" s="11" t="str">
        <f t="shared" si="6"/>
        <v>-</v>
      </c>
      <c r="I17" s="11">
        <f t="shared" si="7"/>
        <v>1.6991555233561828E-2</v>
      </c>
      <c r="J17" s="11">
        <f t="shared" si="8"/>
        <v>1.7754388111882801E-2</v>
      </c>
      <c r="K17" s="11">
        <f t="shared" si="9"/>
        <v>3.4745943345444626E-2</v>
      </c>
      <c r="L17" s="13"/>
      <c r="M17" s="13"/>
      <c r="N17" s="13">
        <v>604034</v>
      </c>
      <c r="O17" s="13">
        <v>631152</v>
      </c>
      <c r="P17" s="13">
        <f t="shared" si="10"/>
        <v>1235186</v>
      </c>
      <c r="Q17" s="14" t="str">
        <f t="shared" si="11"/>
        <v>0</v>
      </c>
      <c r="R17" s="14" t="str">
        <f t="shared" si="11"/>
        <v>0</v>
      </c>
      <c r="S17" s="14">
        <f t="shared" si="11"/>
        <v>933.65470430107518</v>
      </c>
      <c r="T17" s="14">
        <f t="shared" si="11"/>
        <v>975.57096774193542</v>
      </c>
      <c r="U17" s="14">
        <f t="shared" si="12"/>
        <v>1909.2256720430105</v>
      </c>
    </row>
    <row r="18" spans="1:23" x14ac:dyDescent="0.25">
      <c r="A18" s="30" t="s">
        <v>15</v>
      </c>
      <c r="B18" s="11" t="str">
        <f t="shared" si="0"/>
        <v>-</v>
      </c>
      <c r="C18" s="11" t="str">
        <f t="shared" si="1"/>
        <v>-</v>
      </c>
      <c r="D18" s="11">
        <f t="shared" si="2"/>
        <v>9.5411495256297954E-3</v>
      </c>
      <c r="E18" s="11">
        <f t="shared" si="3"/>
        <v>1.4089144631032101E-2</v>
      </c>
      <c r="F18" s="11">
        <f t="shared" si="4"/>
        <v>2.3630294156661898E-2</v>
      </c>
      <c r="G18" s="11" t="str">
        <f t="shared" si="5"/>
        <v>-</v>
      </c>
      <c r="H18" s="11" t="str">
        <f t="shared" si="6"/>
        <v>-</v>
      </c>
      <c r="I18" s="11">
        <f t="shared" si="7"/>
        <v>9.5411495256297937E-3</v>
      </c>
      <c r="J18" s="11">
        <f t="shared" si="8"/>
        <v>1.4089144631032099E-2</v>
      </c>
      <c r="K18" s="11">
        <f t="shared" si="9"/>
        <v>2.3630294156661891E-2</v>
      </c>
      <c r="L18" s="13"/>
      <c r="M18" s="13"/>
      <c r="N18" s="13">
        <v>339179</v>
      </c>
      <c r="O18" s="13">
        <v>500856</v>
      </c>
      <c r="P18" s="13">
        <f t="shared" si="10"/>
        <v>840035</v>
      </c>
      <c r="Q18" s="14" t="str">
        <f t="shared" si="11"/>
        <v>0</v>
      </c>
      <c r="R18" s="14" t="str">
        <f t="shared" si="11"/>
        <v>0</v>
      </c>
      <c r="S18" s="14">
        <f t="shared" si="11"/>
        <v>524.26861559139775</v>
      </c>
      <c r="T18" s="14">
        <f t="shared" si="11"/>
        <v>774.17258064516125</v>
      </c>
      <c r="U18" s="14">
        <f t="shared" si="12"/>
        <v>1298.4411962365589</v>
      </c>
    </row>
    <row r="19" spans="1:23" x14ac:dyDescent="0.25">
      <c r="A19" s="30" t="s">
        <v>16</v>
      </c>
      <c r="B19" s="11" t="str">
        <f t="shared" si="0"/>
        <v>-</v>
      </c>
      <c r="C19" s="11" t="str">
        <f t="shared" si="1"/>
        <v>-</v>
      </c>
      <c r="D19" s="11">
        <f t="shared" si="2"/>
        <v>1.8661134737732725E-2</v>
      </c>
      <c r="E19" s="11">
        <f t="shared" si="3"/>
        <v>2.7159781627822465E-2</v>
      </c>
      <c r="F19" s="11">
        <f t="shared" si="4"/>
        <v>4.5820916365555193E-2</v>
      </c>
      <c r="G19" s="11" t="str">
        <f t="shared" si="5"/>
        <v>-</v>
      </c>
      <c r="H19" s="11" t="str">
        <f t="shared" si="6"/>
        <v>-</v>
      </c>
      <c r="I19" s="11">
        <f t="shared" si="7"/>
        <v>1.8661134737732721E-2</v>
      </c>
      <c r="J19" s="11">
        <f t="shared" si="8"/>
        <v>2.7159781627822462E-2</v>
      </c>
      <c r="K19" s="11">
        <f t="shared" si="9"/>
        <v>4.582091636555518E-2</v>
      </c>
      <c r="L19" s="13"/>
      <c r="M19" s="13"/>
      <c r="N19" s="13">
        <v>663386</v>
      </c>
      <c r="O19" s="13">
        <v>965505</v>
      </c>
      <c r="P19" s="13">
        <f t="shared" si="10"/>
        <v>1628891</v>
      </c>
      <c r="Q19" s="14" t="str">
        <f t="shared" si="11"/>
        <v>0</v>
      </c>
      <c r="R19" s="14" t="str">
        <f t="shared" si="11"/>
        <v>0</v>
      </c>
      <c r="S19" s="14">
        <f t="shared" si="11"/>
        <v>1025.3950268817202</v>
      </c>
      <c r="T19" s="14">
        <f t="shared" si="11"/>
        <v>1492.3800403225805</v>
      </c>
      <c r="U19" s="14">
        <f t="shared" si="12"/>
        <v>2517.7750672043007</v>
      </c>
    </row>
    <row r="20" spans="1:23" x14ac:dyDescent="0.25">
      <c r="A20" s="30" t="s">
        <v>47</v>
      </c>
      <c r="B20" s="11" t="str">
        <f t="shared" si="0"/>
        <v>-</v>
      </c>
      <c r="C20" s="11" t="str">
        <f t="shared" si="1"/>
        <v>-</v>
      </c>
      <c r="D20" s="11">
        <f t="shared" si="2"/>
        <v>5.1592347105736455E-3</v>
      </c>
      <c r="E20" s="11">
        <f t="shared" si="3"/>
        <v>1.3041409791223011E-3</v>
      </c>
      <c r="F20" s="11">
        <f t="shared" si="4"/>
        <v>6.4633756896959466E-3</v>
      </c>
      <c r="G20" s="11" t="str">
        <f t="shared" si="5"/>
        <v>-</v>
      </c>
      <c r="H20" s="11" t="str">
        <f t="shared" si="6"/>
        <v>-</v>
      </c>
      <c r="I20" s="11">
        <f t="shared" si="7"/>
        <v>5.1592347105736437E-3</v>
      </c>
      <c r="J20" s="11">
        <f t="shared" si="8"/>
        <v>1.3041409791223011E-3</v>
      </c>
      <c r="K20" s="11">
        <f t="shared" si="9"/>
        <v>6.4633756896959448E-3</v>
      </c>
      <c r="L20" s="13"/>
      <c r="M20" s="13"/>
      <c r="N20" s="13">
        <f>54238+129168</f>
        <v>183406</v>
      </c>
      <c r="O20" s="13">
        <v>46361</v>
      </c>
      <c r="P20" s="13">
        <f t="shared" si="10"/>
        <v>229767</v>
      </c>
      <c r="Q20" s="14" t="str">
        <f t="shared" si="11"/>
        <v>0</v>
      </c>
      <c r="R20" s="14" t="str">
        <f t="shared" si="11"/>
        <v>0</v>
      </c>
      <c r="S20" s="14">
        <f t="shared" si="11"/>
        <v>283.49045698924726</v>
      </c>
      <c r="T20" s="14">
        <f t="shared" si="11"/>
        <v>71.660147849462362</v>
      </c>
      <c r="U20" s="14">
        <f t="shared" si="12"/>
        <v>355.15060483870963</v>
      </c>
    </row>
    <row r="21" spans="1:23" x14ac:dyDescent="0.25">
      <c r="A21" s="30" t="s">
        <v>45</v>
      </c>
      <c r="B21" s="11" t="str">
        <f t="shared" si="0"/>
        <v>-</v>
      </c>
      <c r="C21" s="11" t="str">
        <f t="shared" si="1"/>
        <v>-</v>
      </c>
      <c r="D21" s="11">
        <f t="shared" si="2"/>
        <v>1.3112016418724509E-3</v>
      </c>
      <c r="E21" s="11">
        <f t="shared" si="3"/>
        <v>8.302101668435171E-3</v>
      </c>
      <c r="F21" s="11">
        <f t="shared" si="4"/>
        <v>9.6133033103076217E-3</v>
      </c>
      <c r="G21" s="11" t="str">
        <f t="shared" si="5"/>
        <v>-</v>
      </c>
      <c r="H21" s="11" t="str">
        <f t="shared" si="6"/>
        <v>-</v>
      </c>
      <c r="I21" s="11">
        <f t="shared" si="7"/>
        <v>1.3112016418724509E-3</v>
      </c>
      <c r="J21" s="11">
        <f t="shared" si="8"/>
        <v>8.3021016684351693E-3</v>
      </c>
      <c r="K21" s="11">
        <f t="shared" si="9"/>
        <v>9.61330331030762E-3</v>
      </c>
      <c r="L21" s="13"/>
      <c r="M21" s="13"/>
      <c r="N21" s="13">
        <v>46612</v>
      </c>
      <c r="O21" s="13">
        <v>295132</v>
      </c>
      <c r="P21" s="13">
        <f t="shared" si="10"/>
        <v>341744</v>
      </c>
      <c r="Q21" s="14" t="str">
        <f t="shared" si="11"/>
        <v>0</v>
      </c>
      <c r="R21" s="14" t="str">
        <f t="shared" si="11"/>
        <v>0</v>
      </c>
      <c r="S21" s="14">
        <f t="shared" si="11"/>
        <v>72.048118279569891</v>
      </c>
      <c r="T21" s="14">
        <f t="shared" si="11"/>
        <v>456.18521505376339</v>
      </c>
      <c r="U21" s="14">
        <f t="shared" si="12"/>
        <v>528.23333333333323</v>
      </c>
    </row>
    <row r="22" spans="1:23" x14ac:dyDescent="0.25">
      <c r="A22" s="30" t="s">
        <v>30</v>
      </c>
      <c r="B22" s="11" t="str">
        <f t="shared" si="0"/>
        <v>-</v>
      </c>
      <c r="C22" s="11" t="str">
        <f t="shared" si="1"/>
        <v>-</v>
      </c>
      <c r="D22" s="11">
        <f t="shared" si="2"/>
        <v>6.2226661631898414E-4</v>
      </c>
      <c r="E22" s="11">
        <f t="shared" si="3"/>
        <v>3.7240635836816305E-3</v>
      </c>
      <c r="F22" s="11">
        <f t="shared" si="4"/>
        <v>4.3463302000006148E-3</v>
      </c>
      <c r="G22" s="11" t="str">
        <f t="shared" si="5"/>
        <v>-</v>
      </c>
      <c r="H22" s="11" t="str">
        <f t="shared" si="6"/>
        <v>-</v>
      </c>
      <c r="I22" s="11">
        <f t="shared" si="7"/>
        <v>6.2226661631898414E-4</v>
      </c>
      <c r="J22" s="11">
        <f t="shared" si="8"/>
        <v>3.7240635836816305E-3</v>
      </c>
      <c r="K22" s="11">
        <f t="shared" si="9"/>
        <v>4.3463302000006148E-3</v>
      </c>
      <c r="L22" s="13"/>
      <c r="M22" s="13"/>
      <c r="N22" s="13">
        <v>22121</v>
      </c>
      <c r="O22" s="13">
        <v>132387</v>
      </c>
      <c r="P22" s="13">
        <f t="shared" si="10"/>
        <v>154508</v>
      </c>
      <c r="Q22" s="14" t="str">
        <f t="shared" si="11"/>
        <v>0</v>
      </c>
      <c r="R22" s="14" t="str">
        <f t="shared" si="11"/>
        <v>0</v>
      </c>
      <c r="S22" s="14">
        <f t="shared" si="11"/>
        <v>34.192405913978497</v>
      </c>
      <c r="T22" s="14">
        <f t="shared" si="11"/>
        <v>204.63044354838709</v>
      </c>
      <c r="U22" s="14">
        <f t="shared" si="12"/>
        <v>238.82284946236558</v>
      </c>
    </row>
    <row r="23" spans="1:23" x14ac:dyDescent="0.25">
      <c r="A23" s="30" t="s">
        <v>50</v>
      </c>
      <c r="B23" s="11" t="str">
        <f t="shared" si="0"/>
        <v>-</v>
      </c>
      <c r="C23" s="11" t="str">
        <f t="shared" si="1"/>
        <v>-</v>
      </c>
      <c r="D23" s="11">
        <f t="shared" si="2"/>
        <v>8.1740533144961987E-3</v>
      </c>
      <c r="E23" s="11">
        <f t="shared" si="3"/>
        <v>2.154627344014854E-3</v>
      </c>
      <c r="F23" s="11">
        <f t="shared" si="4"/>
        <v>1.0328680658511053E-2</v>
      </c>
      <c r="G23" s="11" t="str">
        <f t="shared" si="5"/>
        <v>-</v>
      </c>
      <c r="H23" s="11" t="str">
        <f t="shared" si="6"/>
        <v>-</v>
      </c>
      <c r="I23" s="11">
        <f t="shared" si="7"/>
        <v>8.174053314496197E-3</v>
      </c>
      <c r="J23" s="11">
        <f t="shared" si="8"/>
        <v>2.154627344014854E-3</v>
      </c>
      <c r="K23" s="11">
        <f t="shared" si="9"/>
        <v>1.0328680658511053E-2</v>
      </c>
      <c r="L23" s="13"/>
      <c r="M23" s="13"/>
      <c r="N23" s="13">
        <v>290580</v>
      </c>
      <c r="O23" s="13">
        <v>76595</v>
      </c>
      <c r="P23" s="13">
        <f t="shared" si="10"/>
        <v>367175</v>
      </c>
      <c r="Q23" s="14" t="str">
        <f t="shared" si="11"/>
        <v>0</v>
      </c>
      <c r="R23" s="14" t="str">
        <f t="shared" si="11"/>
        <v>0</v>
      </c>
      <c r="S23" s="14">
        <f t="shared" si="11"/>
        <v>449.14919354838707</v>
      </c>
      <c r="T23" s="14">
        <f t="shared" si="11"/>
        <v>118.39280913978494</v>
      </c>
      <c r="U23" s="14">
        <f t="shared" si="12"/>
        <v>567.54200268817203</v>
      </c>
    </row>
    <row r="24" spans="1:23" x14ac:dyDescent="0.25">
      <c r="A24" s="30" t="s">
        <v>17</v>
      </c>
      <c r="B24" s="11" t="str">
        <f t="shared" si="0"/>
        <v>-</v>
      </c>
      <c r="C24" s="11" t="str">
        <f t="shared" si="1"/>
        <v>-</v>
      </c>
      <c r="D24" s="11">
        <f t="shared" si="2"/>
        <v>8.9848761954138059E-3</v>
      </c>
      <c r="E24" s="11">
        <f t="shared" si="3"/>
        <v>1.6413621702877253E-2</v>
      </c>
      <c r="F24" s="11">
        <f t="shared" si="4"/>
        <v>2.5398497898291059E-2</v>
      </c>
      <c r="G24" s="11" t="str">
        <f t="shared" si="5"/>
        <v>-</v>
      </c>
      <c r="H24" s="11" t="str">
        <f t="shared" si="6"/>
        <v>-</v>
      </c>
      <c r="I24" s="11">
        <f t="shared" si="7"/>
        <v>8.9848761954138059E-3</v>
      </c>
      <c r="J24" s="11">
        <f t="shared" si="8"/>
        <v>1.6413621702877253E-2</v>
      </c>
      <c r="K24" s="11">
        <f t="shared" si="9"/>
        <v>2.5398497898291059E-2</v>
      </c>
      <c r="L24" s="13"/>
      <c r="M24" s="13"/>
      <c r="N24" s="13">
        <v>319404</v>
      </c>
      <c r="O24" s="13">
        <v>583489</v>
      </c>
      <c r="P24" s="13">
        <f t="shared" si="10"/>
        <v>902893</v>
      </c>
      <c r="Q24" s="14" t="str">
        <f t="shared" si="11"/>
        <v>0</v>
      </c>
      <c r="R24" s="14" t="str">
        <f t="shared" si="11"/>
        <v>0</v>
      </c>
      <c r="S24" s="14">
        <f t="shared" si="11"/>
        <v>493.7024193548387</v>
      </c>
      <c r="T24" s="14">
        <f t="shared" si="11"/>
        <v>901.89831989247307</v>
      </c>
      <c r="U24" s="14">
        <f t="shared" si="12"/>
        <v>1395.6007392473118</v>
      </c>
    </row>
    <row r="25" spans="1:23" x14ac:dyDescent="0.25">
      <c r="A25" s="30" t="s">
        <v>18</v>
      </c>
      <c r="B25" s="11" t="str">
        <f t="shared" si="0"/>
        <v>-</v>
      </c>
      <c r="C25" s="11" t="str">
        <f t="shared" si="1"/>
        <v>-</v>
      </c>
      <c r="D25" s="11">
        <f t="shared" si="2"/>
        <v>2.6005799285195384E-2</v>
      </c>
      <c r="E25" s="11">
        <f t="shared" si="3"/>
        <v>3.8422663919530638E-3</v>
      </c>
      <c r="F25" s="11">
        <f t="shared" si="4"/>
        <v>2.9848065677148448E-2</v>
      </c>
      <c r="G25" s="11" t="str">
        <f t="shared" si="5"/>
        <v>-</v>
      </c>
      <c r="H25" s="11" t="str">
        <f t="shared" si="6"/>
        <v>-</v>
      </c>
      <c r="I25" s="11">
        <f t="shared" si="7"/>
        <v>2.6005799285195377E-2</v>
      </c>
      <c r="J25" s="11">
        <f t="shared" si="8"/>
        <v>3.8422663919530638E-3</v>
      </c>
      <c r="K25" s="11">
        <f t="shared" si="9"/>
        <v>2.9848065677148441E-2</v>
      </c>
      <c r="L25" s="13"/>
      <c r="M25" s="13"/>
      <c r="N25" s="13">
        <v>924482</v>
      </c>
      <c r="O25" s="13">
        <v>136589</v>
      </c>
      <c r="P25" s="13">
        <f t="shared" si="10"/>
        <v>1061071</v>
      </c>
      <c r="Q25" s="14" t="str">
        <f t="shared" si="11"/>
        <v>0</v>
      </c>
      <c r="R25" s="14" t="str">
        <f t="shared" si="11"/>
        <v>0</v>
      </c>
      <c r="S25" s="14">
        <f t="shared" si="11"/>
        <v>1428.9708333333331</v>
      </c>
      <c r="T25" s="14">
        <f t="shared" si="11"/>
        <v>211.12547043010753</v>
      </c>
      <c r="U25" s="14">
        <f t="shared" si="12"/>
        <v>1640.0963037634406</v>
      </c>
      <c r="W25" s="31"/>
    </row>
    <row r="26" spans="1:23" x14ac:dyDescent="0.25">
      <c r="A26" s="30" t="s">
        <v>19</v>
      </c>
      <c r="B26" s="11" t="str">
        <f t="shared" si="0"/>
        <v>-</v>
      </c>
      <c r="C26" s="11" t="str">
        <f t="shared" si="1"/>
        <v>-</v>
      </c>
      <c r="D26" s="11">
        <f t="shared" si="2"/>
        <v>2.8276688458478642E-3</v>
      </c>
      <c r="E26" s="11">
        <f t="shared" si="3"/>
        <v>2.2702984405432057E-3</v>
      </c>
      <c r="F26" s="11">
        <f t="shared" si="4"/>
        <v>5.0979672863910698E-3</v>
      </c>
      <c r="G26" s="11" t="str">
        <f t="shared" si="5"/>
        <v>-</v>
      </c>
      <c r="H26" s="11" t="str">
        <f t="shared" si="6"/>
        <v>-</v>
      </c>
      <c r="I26" s="11">
        <f t="shared" si="7"/>
        <v>2.8276688458478637E-3</v>
      </c>
      <c r="J26" s="11">
        <f t="shared" si="8"/>
        <v>2.2702984405432057E-3</v>
      </c>
      <c r="K26" s="11">
        <f t="shared" si="9"/>
        <v>5.0979672863910698E-3</v>
      </c>
      <c r="L26" s="13"/>
      <c r="M26" s="13"/>
      <c r="N26" s="13">
        <v>100521</v>
      </c>
      <c r="O26" s="13">
        <v>80707</v>
      </c>
      <c r="P26" s="13">
        <f t="shared" si="10"/>
        <v>181228</v>
      </c>
      <c r="Q26" s="14" t="str">
        <f t="shared" si="11"/>
        <v>0</v>
      </c>
      <c r="R26" s="14" t="str">
        <f t="shared" si="11"/>
        <v>0</v>
      </c>
      <c r="S26" s="14">
        <f t="shared" si="11"/>
        <v>155.3752016129032</v>
      </c>
      <c r="T26" s="14">
        <f t="shared" si="11"/>
        <v>124.74872311827957</v>
      </c>
      <c r="U26" s="14">
        <f t="shared" si="12"/>
        <v>280.1239247311828</v>
      </c>
    </row>
    <row r="27" spans="1:23" x14ac:dyDescent="0.25">
      <c r="A27" s="30" t="s">
        <v>20</v>
      </c>
      <c r="B27" s="11" t="str">
        <f t="shared" si="0"/>
        <v>-</v>
      </c>
      <c r="C27" s="11" t="str">
        <f t="shared" si="1"/>
        <v>-</v>
      </c>
      <c r="D27" s="11">
        <f t="shared" si="2"/>
        <v>5.4671471187933279E-3</v>
      </c>
      <c r="E27" s="11" t="str">
        <f t="shared" si="3"/>
        <v>-</v>
      </c>
      <c r="F27" s="11">
        <f t="shared" si="4"/>
        <v>5.4671471187933279E-3</v>
      </c>
      <c r="G27" s="11" t="str">
        <f t="shared" si="5"/>
        <v>-</v>
      </c>
      <c r="H27" s="11" t="str">
        <f t="shared" si="6"/>
        <v>-</v>
      </c>
      <c r="I27" s="11">
        <f t="shared" si="7"/>
        <v>5.4671471187933279E-3</v>
      </c>
      <c r="J27" s="11" t="str">
        <f t="shared" si="8"/>
        <v>-</v>
      </c>
      <c r="K27" s="11">
        <f t="shared" si="9"/>
        <v>5.4671471187933279E-3</v>
      </c>
      <c r="L27" s="13"/>
      <c r="M27" s="13"/>
      <c r="N27" s="13">
        <v>194352</v>
      </c>
      <c r="O27" s="13"/>
      <c r="P27" s="13">
        <f t="shared" si="10"/>
        <v>194352</v>
      </c>
      <c r="Q27" s="14" t="str">
        <f t="shared" si="11"/>
        <v>0</v>
      </c>
      <c r="R27" s="14" t="str">
        <f t="shared" si="11"/>
        <v>0</v>
      </c>
      <c r="S27" s="14">
        <f t="shared" si="11"/>
        <v>300.40967741935486</v>
      </c>
      <c r="T27" s="14" t="str">
        <f t="shared" si="11"/>
        <v>0</v>
      </c>
      <c r="U27" s="14">
        <f t="shared" si="12"/>
        <v>300.40967741935486</v>
      </c>
    </row>
    <row r="28" spans="1:23" x14ac:dyDescent="0.25">
      <c r="A28" s="30" t="s">
        <v>21</v>
      </c>
      <c r="B28" s="11">
        <f t="shared" si="0"/>
        <v>2.5724301069495185E-2</v>
      </c>
      <c r="C28" s="11" t="str">
        <f t="shared" si="1"/>
        <v>-</v>
      </c>
      <c r="D28" s="11">
        <f t="shared" si="2"/>
        <v>5.0094305137224578E-2</v>
      </c>
      <c r="E28" s="11">
        <f t="shared" si="3"/>
        <v>1.4925115848597653E-2</v>
      </c>
      <c r="F28" s="11">
        <f t="shared" si="4"/>
        <v>9.0743722055317416E-2</v>
      </c>
      <c r="G28" s="11">
        <f t="shared" si="5"/>
        <v>2.5724301069495182E-2</v>
      </c>
      <c r="H28" s="11" t="str">
        <f t="shared" si="6"/>
        <v>-</v>
      </c>
      <c r="I28" s="11">
        <f t="shared" si="7"/>
        <v>5.0094305137224578E-2</v>
      </c>
      <c r="J28" s="11">
        <f t="shared" si="8"/>
        <v>1.4925115848597651E-2</v>
      </c>
      <c r="K28" s="11">
        <f t="shared" si="9"/>
        <v>9.0743722055317402E-2</v>
      </c>
      <c r="L28" s="13">
        <v>914475</v>
      </c>
      <c r="M28" s="13"/>
      <c r="N28" s="13">
        <v>1780806</v>
      </c>
      <c r="O28" s="13">
        <v>530574</v>
      </c>
      <c r="P28" s="13">
        <f t="shared" si="10"/>
        <v>3225855</v>
      </c>
      <c r="Q28" s="14">
        <f t="shared" si="11"/>
        <v>1413.5030241935483</v>
      </c>
      <c r="R28" s="14" t="str">
        <f t="shared" si="11"/>
        <v>0</v>
      </c>
      <c r="S28" s="14">
        <f t="shared" si="11"/>
        <v>2752.5899193548389</v>
      </c>
      <c r="T28" s="14">
        <f t="shared" si="11"/>
        <v>820.10766129032254</v>
      </c>
      <c r="U28" s="14">
        <f t="shared" si="12"/>
        <v>4986.2006048387093</v>
      </c>
    </row>
    <row r="29" spans="1:23" x14ac:dyDescent="0.25">
      <c r="A29" s="30" t="s">
        <v>22</v>
      </c>
      <c r="B29" s="11" t="str">
        <f t="shared" si="0"/>
        <v>-</v>
      </c>
      <c r="C29" s="11" t="str">
        <f t="shared" si="1"/>
        <v>-</v>
      </c>
      <c r="D29" s="11">
        <f t="shared" si="2"/>
        <v>1.6757400027457261E-2</v>
      </c>
      <c r="E29" s="11">
        <f t="shared" si="3"/>
        <v>2.4900172636861159E-2</v>
      </c>
      <c r="F29" s="11">
        <f t="shared" si="4"/>
        <v>4.1657572664318417E-2</v>
      </c>
      <c r="G29" s="11" t="str">
        <f t="shared" si="5"/>
        <v>-</v>
      </c>
      <c r="H29" s="11" t="str">
        <f t="shared" si="6"/>
        <v>-</v>
      </c>
      <c r="I29" s="11">
        <f t="shared" si="7"/>
        <v>1.6757400027457257E-2</v>
      </c>
      <c r="J29" s="11">
        <f t="shared" si="8"/>
        <v>2.4900172636861159E-2</v>
      </c>
      <c r="K29" s="11">
        <f t="shared" si="9"/>
        <v>4.1657572664318417E-2</v>
      </c>
      <c r="L29" s="13"/>
      <c r="M29" s="13"/>
      <c r="N29" s="13">
        <v>595710</v>
      </c>
      <c r="O29" s="13">
        <v>885178</v>
      </c>
      <c r="P29" s="13">
        <f t="shared" si="10"/>
        <v>1480888</v>
      </c>
      <c r="Q29" s="14" t="str">
        <f t="shared" si="11"/>
        <v>0</v>
      </c>
      <c r="R29" s="14" t="str">
        <f t="shared" si="11"/>
        <v>0</v>
      </c>
      <c r="S29" s="14">
        <f t="shared" si="11"/>
        <v>920.78830645161281</v>
      </c>
      <c r="T29" s="14">
        <f t="shared" si="11"/>
        <v>1368.2186827956989</v>
      </c>
      <c r="U29" s="14">
        <f t="shared" si="12"/>
        <v>2289.0069892473116</v>
      </c>
    </row>
    <row r="30" spans="1:23" x14ac:dyDescent="0.25">
      <c r="A30" s="30" t="s">
        <v>23</v>
      </c>
      <c r="B30" s="11" t="str">
        <f t="shared" si="0"/>
        <v>-</v>
      </c>
      <c r="C30" s="11" t="str">
        <f t="shared" si="1"/>
        <v>-</v>
      </c>
      <c r="D30" s="11">
        <f t="shared" si="2"/>
        <v>6.5444748558659942E-4</v>
      </c>
      <c r="E30" s="11">
        <f t="shared" si="3"/>
        <v>2.2254027522992247E-3</v>
      </c>
      <c r="F30" s="11">
        <f t="shared" si="4"/>
        <v>2.8798502378858241E-3</v>
      </c>
      <c r="G30" s="11" t="str">
        <f t="shared" si="5"/>
        <v>-</v>
      </c>
      <c r="H30" s="11" t="str">
        <f t="shared" si="6"/>
        <v>-</v>
      </c>
      <c r="I30" s="11">
        <f t="shared" si="7"/>
        <v>6.5444748558659931E-4</v>
      </c>
      <c r="J30" s="11">
        <f t="shared" si="8"/>
        <v>2.2254027522992247E-3</v>
      </c>
      <c r="K30" s="11">
        <f t="shared" si="9"/>
        <v>2.8798502378858237E-3</v>
      </c>
      <c r="L30" s="13"/>
      <c r="M30" s="13"/>
      <c r="N30" s="13">
        <f>15945+7320</f>
        <v>23265</v>
      </c>
      <c r="O30" s="13">
        <v>79111</v>
      </c>
      <c r="P30" s="13">
        <f t="shared" si="10"/>
        <v>102376</v>
      </c>
      <c r="Q30" s="14" t="str">
        <f t="shared" si="11"/>
        <v>0</v>
      </c>
      <c r="R30" s="14" t="str">
        <f t="shared" si="11"/>
        <v>0</v>
      </c>
      <c r="S30" s="14">
        <f t="shared" si="11"/>
        <v>35.960685483870961</v>
      </c>
      <c r="T30" s="14">
        <f t="shared" si="11"/>
        <v>122.28178763440859</v>
      </c>
      <c r="U30" s="14">
        <f t="shared" si="12"/>
        <v>158.24247311827955</v>
      </c>
    </row>
    <row r="31" spans="1:23" x14ac:dyDescent="0.25">
      <c r="A31" s="30" t="s">
        <v>24</v>
      </c>
      <c r="B31" s="11">
        <f t="shared" si="0"/>
        <v>1.0439007030248453E-2</v>
      </c>
      <c r="C31" s="11" t="str">
        <f t="shared" si="1"/>
        <v>-</v>
      </c>
      <c r="D31" s="11">
        <f t="shared" si="2"/>
        <v>2.1568411852835267E-2</v>
      </c>
      <c r="E31" s="11">
        <f t="shared" si="3"/>
        <v>4.2702663271862512E-3</v>
      </c>
      <c r="F31" s="11">
        <f t="shared" si="4"/>
        <v>3.6277685210269972E-2</v>
      </c>
      <c r="G31" s="11">
        <f t="shared" si="5"/>
        <v>1.0439007030248453E-2</v>
      </c>
      <c r="H31" s="11" t="str">
        <f t="shared" si="6"/>
        <v>-</v>
      </c>
      <c r="I31" s="11">
        <f t="shared" si="7"/>
        <v>2.1568411852835267E-2</v>
      </c>
      <c r="J31" s="11">
        <f t="shared" si="8"/>
        <v>4.2702663271862512E-3</v>
      </c>
      <c r="K31" s="11">
        <f t="shared" si="9"/>
        <v>3.6277685210269972E-2</v>
      </c>
      <c r="L31" s="13">
        <v>371097</v>
      </c>
      <c r="M31" s="13"/>
      <c r="N31" s="13">
        <v>766737</v>
      </c>
      <c r="O31" s="13">
        <v>151804</v>
      </c>
      <c r="P31" s="13">
        <f t="shared" si="10"/>
        <v>1289638</v>
      </c>
      <c r="Q31" s="14">
        <f t="shared" si="11"/>
        <v>573.60423387096773</v>
      </c>
      <c r="R31" s="14" t="str">
        <f t="shared" si="11"/>
        <v>0</v>
      </c>
      <c r="S31" s="14">
        <f t="shared" si="11"/>
        <v>1185.144556451613</v>
      </c>
      <c r="T31" s="14">
        <f t="shared" si="11"/>
        <v>234.64327956989246</v>
      </c>
      <c r="U31" s="14">
        <f t="shared" si="12"/>
        <v>1993.392069892473</v>
      </c>
    </row>
    <row r="32" spans="1:23" x14ac:dyDescent="0.25">
      <c r="A32" s="30" t="s">
        <v>56</v>
      </c>
      <c r="B32" s="11">
        <f t="shared" si="0"/>
        <v>7.393048371885997E-3</v>
      </c>
      <c r="C32" s="11" t="str">
        <f t="shared" si="1"/>
        <v>-</v>
      </c>
      <c r="D32" s="11">
        <f t="shared" si="2"/>
        <v>3.847090709330158E-2</v>
      </c>
      <c r="E32" s="11">
        <f t="shared" si="3"/>
        <v>2.0554123738165332E-3</v>
      </c>
      <c r="F32" s="11">
        <f t="shared" si="4"/>
        <v>4.7919367839004114E-2</v>
      </c>
      <c r="G32" s="11">
        <f t="shared" si="5"/>
        <v>7.3930483718859952E-3</v>
      </c>
      <c r="H32" s="11" t="str">
        <f t="shared" si="6"/>
        <v>-</v>
      </c>
      <c r="I32" s="11">
        <f t="shared" si="7"/>
        <v>3.8470907093301573E-2</v>
      </c>
      <c r="J32" s="11">
        <f t="shared" si="8"/>
        <v>2.0554123738165328E-3</v>
      </c>
      <c r="K32" s="11">
        <f t="shared" si="9"/>
        <v>4.7919367839004107E-2</v>
      </c>
      <c r="L32" s="13">
        <v>262816</v>
      </c>
      <c r="M32" s="13"/>
      <c r="N32" s="13">
        <v>1367605</v>
      </c>
      <c r="O32" s="13">
        <v>73068</v>
      </c>
      <c r="P32" s="13">
        <f t="shared" si="10"/>
        <v>1703489</v>
      </c>
      <c r="Q32" s="14">
        <f t="shared" si="11"/>
        <v>406.23440860215049</v>
      </c>
      <c r="R32" s="14" t="str">
        <f t="shared" si="11"/>
        <v>0</v>
      </c>
      <c r="S32" s="14">
        <f t="shared" si="11"/>
        <v>2113.905577956989</v>
      </c>
      <c r="T32" s="14">
        <f t="shared" si="11"/>
        <v>112.94112903225805</v>
      </c>
      <c r="U32" s="14">
        <f t="shared" si="12"/>
        <v>2633.0811155913975</v>
      </c>
    </row>
    <row r="33" spans="1:21" x14ac:dyDescent="0.25">
      <c r="A33" s="30" t="s">
        <v>25</v>
      </c>
      <c r="B33" s="11" t="str">
        <f t="shared" si="0"/>
        <v>-</v>
      </c>
      <c r="C33" s="11" t="str">
        <f t="shared" si="1"/>
        <v>-</v>
      </c>
      <c r="D33" s="11">
        <f t="shared" si="2"/>
        <v>4.3194659253934708E-3</v>
      </c>
      <c r="E33" s="11">
        <f t="shared" si="3"/>
        <v>6.8286735640921458E-3</v>
      </c>
      <c r="F33" s="11">
        <f t="shared" si="4"/>
        <v>1.1148139489485617E-2</v>
      </c>
      <c r="G33" s="11" t="str">
        <f t="shared" si="5"/>
        <v>-</v>
      </c>
      <c r="H33" s="11" t="str">
        <f t="shared" si="6"/>
        <v>-</v>
      </c>
      <c r="I33" s="11">
        <f t="shared" si="7"/>
        <v>4.3194659253934699E-3</v>
      </c>
      <c r="J33" s="11">
        <f t="shared" si="8"/>
        <v>6.828673564092144E-3</v>
      </c>
      <c r="K33" s="11">
        <f t="shared" si="9"/>
        <v>1.1148139489485613E-2</v>
      </c>
      <c r="L33" s="13"/>
      <c r="M33" s="13"/>
      <c r="N33" s="13">
        <v>153553</v>
      </c>
      <c r="O33" s="13">
        <v>242753</v>
      </c>
      <c r="P33" s="13">
        <f t="shared" si="10"/>
        <v>396306</v>
      </c>
      <c r="Q33" s="14" t="str">
        <f t="shared" si="11"/>
        <v>0</v>
      </c>
      <c r="R33" s="14" t="str">
        <f t="shared" si="11"/>
        <v>0</v>
      </c>
      <c r="S33" s="14">
        <f t="shared" si="11"/>
        <v>237.34670698924728</v>
      </c>
      <c r="T33" s="14">
        <f t="shared" si="11"/>
        <v>375.22305107526876</v>
      </c>
      <c r="U33" s="14">
        <f t="shared" si="12"/>
        <v>612.56975806451601</v>
      </c>
    </row>
    <row r="34" spans="1:21" x14ac:dyDescent="0.25">
      <c r="A34" s="30" t="s">
        <v>31</v>
      </c>
      <c r="B34" s="11">
        <f t="shared" si="0"/>
        <v>2.1324439231193634E-2</v>
      </c>
      <c r="C34" s="11" t="str">
        <f t="shared" si="1"/>
        <v>-</v>
      </c>
      <c r="D34" s="11">
        <f t="shared" si="2"/>
        <v>1.6655850256429208E-2</v>
      </c>
      <c r="E34" s="11">
        <f t="shared" si="3"/>
        <v>1.8845077660932845E-2</v>
      </c>
      <c r="F34" s="11">
        <f t="shared" si="4"/>
        <v>5.6825367148555683E-2</v>
      </c>
      <c r="G34" s="11">
        <f t="shared" si="5"/>
        <v>2.1324439231193631E-2</v>
      </c>
      <c r="H34" s="11" t="str">
        <f t="shared" si="6"/>
        <v>-</v>
      </c>
      <c r="I34" s="11">
        <f t="shared" si="7"/>
        <v>1.6655850256429204E-2</v>
      </c>
      <c r="J34" s="11">
        <f t="shared" si="8"/>
        <v>1.8845077660932841E-2</v>
      </c>
      <c r="K34" s="11">
        <f t="shared" si="9"/>
        <v>5.6825367148555669E-2</v>
      </c>
      <c r="L34" s="13">
        <f>181944+576120</f>
        <v>758064</v>
      </c>
      <c r="M34" s="13"/>
      <c r="N34" s="13">
        <v>592100</v>
      </c>
      <c r="O34" s="13">
        <v>669925</v>
      </c>
      <c r="P34" s="13">
        <f t="shared" si="10"/>
        <v>2020089</v>
      </c>
      <c r="Q34" s="14">
        <f t="shared" si="11"/>
        <v>1171.7387096774191</v>
      </c>
      <c r="R34" s="14" t="str">
        <f t="shared" si="11"/>
        <v>0</v>
      </c>
      <c r="S34" s="14">
        <f t="shared" si="11"/>
        <v>915.20833333333326</v>
      </c>
      <c r="T34" s="14">
        <f t="shared" si="11"/>
        <v>1035.5023521505375</v>
      </c>
      <c r="U34" s="14">
        <f t="shared" si="12"/>
        <v>3122.4493951612894</v>
      </c>
    </row>
    <row r="35" spans="1:21" x14ac:dyDescent="0.25">
      <c r="A35" s="30" t="s">
        <v>26</v>
      </c>
      <c r="B35" s="11" t="str">
        <f t="shared" si="0"/>
        <v>-</v>
      </c>
      <c r="C35" s="11" t="str">
        <f t="shared" si="1"/>
        <v>-</v>
      </c>
      <c r="D35" s="11">
        <f t="shared" si="2"/>
        <v>2.5425784124855383E-2</v>
      </c>
      <c r="E35" s="11">
        <f t="shared" si="3"/>
        <v>1.254226875600923E-2</v>
      </c>
      <c r="F35" s="11">
        <f t="shared" si="4"/>
        <v>3.7968052880864613E-2</v>
      </c>
      <c r="G35" s="11" t="str">
        <f t="shared" si="5"/>
        <v>-</v>
      </c>
      <c r="H35" s="11" t="str">
        <f t="shared" si="6"/>
        <v>-</v>
      </c>
      <c r="I35" s="11">
        <f t="shared" si="7"/>
        <v>2.5425784124855383E-2</v>
      </c>
      <c r="J35" s="11">
        <f t="shared" si="8"/>
        <v>1.2542268756009228E-2</v>
      </c>
      <c r="K35" s="11">
        <f t="shared" si="9"/>
        <v>3.7968052880864613E-2</v>
      </c>
      <c r="L35" s="13"/>
      <c r="M35" s="13"/>
      <c r="N35" s="13">
        <v>903863</v>
      </c>
      <c r="O35" s="13">
        <v>445866</v>
      </c>
      <c r="P35" s="13">
        <f t="shared" si="10"/>
        <v>1349729</v>
      </c>
      <c r="Q35" s="14" t="str">
        <f t="shared" si="11"/>
        <v>0</v>
      </c>
      <c r="R35" s="14" t="str">
        <f t="shared" si="11"/>
        <v>0</v>
      </c>
      <c r="S35" s="14">
        <f t="shared" si="11"/>
        <v>1397.100067204301</v>
      </c>
      <c r="T35" s="14">
        <f t="shared" si="11"/>
        <v>689.17459677419345</v>
      </c>
      <c r="U35" s="14">
        <f t="shared" si="12"/>
        <v>2086.2746639784946</v>
      </c>
    </row>
    <row r="36" spans="1:21" x14ac:dyDescent="0.25">
      <c r="A36" s="30" t="s">
        <v>27</v>
      </c>
      <c r="B36" s="11" t="str">
        <f t="shared" si="0"/>
        <v>-</v>
      </c>
      <c r="C36" s="11" t="str">
        <f t="shared" si="1"/>
        <v>-</v>
      </c>
      <c r="D36" s="11">
        <f t="shared" si="2"/>
        <v>1.5205179427643437E-3</v>
      </c>
      <c r="E36" s="11">
        <f t="shared" si="3"/>
        <v>5.4518724579434019E-3</v>
      </c>
      <c r="F36" s="11">
        <f t="shared" si="4"/>
        <v>6.9723904007077458E-3</v>
      </c>
      <c r="G36" s="11" t="str">
        <f t="shared" si="5"/>
        <v>-</v>
      </c>
      <c r="H36" s="11" t="str">
        <f t="shared" si="6"/>
        <v>-</v>
      </c>
      <c r="I36" s="11">
        <f t="shared" si="7"/>
        <v>1.5205179427643437E-3</v>
      </c>
      <c r="J36" s="11">
        <f t="shared" si="8"/>
        <v>5.451872457943401E-3</v>
      </c>
      <c r="K36" s="11">
        <f t="shared" si="9"/>
        <v>6.9723904007077449E-3</v>
      </c>
      <c r="L36" s="13"/>
      <c r="M36" s="13"/>
      <c r="N36" s="13">
        <v>54053</v>
      </c>
      <c r="O36" s="13">
        <v>193809</v>
      </c>
      <c r="P36" s="13">
        <f t="shared" si="10"/>
        <v>247862</v>
      </c>
      <c r="Q36" s="14" t="str">
        <f t="shared" si="11"/>
        <v>0</v>
      </c>
      <c r="R36" s="14" t="str">
        <f t="shared" si="11"/>
        <v>0</v>
      </c>
      <c r="S36" s="14">
        <f t="shared" si="11"/>
        <v>83.549663978494621</v>
      </c>
      <c r="T36" s="14">
        <f t="shared" si="11"/>
        <v>299.57036290322577</v>
      </c>
      <c r="U36" s="14">
        <f t="shared" si="12"/>
        <v>383.12002688172038</v>
      </c>
    </row>
    <row r="37" spans="1:21" x14ac:dyDescent="0.25">
      <c r="A37" s="30" t="s">
        <v>32</v>
      </c>
      <c r="B37" s="11" t="str">
        <f t="shared" si="0"/>
        <v>-</v>
      </c>
      <c r="C37" s="11" t="str">
        <f t="shared" si="1"/>
        <v>-</v>
      </c>
      <c r="D37" s="11">
        <f t="shared" si="2"/>
        <v>3.3278788260198353E-3</v>
      </c>
      <c r="E37" s="11">
        <f t="shared" si="3"/>
        <v>2.9525666251732242E-3</v>
      </c>
      <c r="F37" s="11">
        <f t="shared" si="4"/>
        <v>6.2804454511930594E-3</v>
      </c>
      <c r="G37" s="11" t="str">
        <f t="shared" si="5"/>
        <v>-</v>
      </c>
      <c r="H37" s="11" t="str">
        <f t="shared" si="6"/>
        <v>-</v>
      </c>
      <c r="I37" s="11">
        <f t="shared" si="7"/>
        <v>3.3278788260198348E-3</v>
      </c>
      <c r="J37" s="11">
        <f t="shared" si="8"/>
        <v>2.9525666251732237E-3</v>
      </c>
      <c r="K37" s="11">
        <f t="shared" si="9"/>
        <v>6.2804454511930586E-3</v>
      </c>
      <c r="L37" s="13"/>
      <c r="M37" s="13"/>
      <c r="N37" s="13">
        <v>118303</v>
      </c>
      <c r="O37" s="13">
        <v>104961</v>
      </c>
      <c r="P37" s="13">
        <f t="shared" si="10"/>
        <v>223264</v>
      </c>
      <c r="Q37" s="14" t="str">
        <f t="shared" si="11"/>
        <v>0</v>
      </c>
      <c r="R37" s="14" t="str">
        <f t="shared" si="11"/>
        <v>0</v>
      </c>
      <c r="S37" s="14">
        <f t="shared" si="11"/>
        <v>182.8608198924731</v>
      </c>
      <c r="T37" s="14">
        <f t="shared" si="11"/>
        <v>162.23810483870966</v>
      </c>
      <c r="U37" s="14">
        <f t="shared" si="12"/>
        <v>345.09892473118276</v>
      </c>
    </row>
    <row r="38" spans="1:21" x14ac:dyDescent="0.25">
      <c r="A38" s="30" t="s">
        <v>28</v>
      </c>
      <c r="B38" s="11" t="str">
        <f t="shared" si="0"/>
        <v>-</v>
      </c>
      <c r="C38" s="11" t="str">
        <f t="shared" si="1"/>
        <v>-</v>
      </c>
      <c r="D38" s="11">
        <f t="shared" si="2"/>
        <v>7.4318960820770599E-3</v>
      </c>
      <c r="E38" s="11">
        <f t="shared" si="3"/>
        <v>1.1871027582526856E-2</v>
      </c>
      <c r="F38" s="11">
        <f t="shared" si="4"/>
        <v>1.9302923664603917E-2</v>
      </c>
      <c r="G38" s="11" t="str">
        <f t="shared" si="5"/>
        <v>-</v>
      </c>
      <c r="H38" s="11" t="str">
        <f t="shared" si="6"/>
        <v>-</v>
      </c>
      <c r="I38" s="11">
        <f t="shared" si="7"/>
        <v>7.4318960820770599E-3</v>
      </c>
      <c r="J38" s="11">
        <f t="shared" si="8"/>
        <v>1.1871027582526854E-2</v>
      </c>
      <c r="K38" s="11">
        <f t="shared" si="9"/>
        <v>1.9302923664603913E-2</v>
      </c>
      <c r="L38" s="13"/>
      <c r="M38" s="13"/>
      <c r="N38" s="13">
        <v>264197</v>
      </c>
      <c r="O38" s="13">
        <v>422004</v>
      </c>
      <c r="P38" s="13">
        <f t="shared" si="10"/>
        <v>686201</v>
      </c>
      <c r="Q38" s="14" t="str">
        <f t="shared" si="11"/>
        <v>0</v>
      </c>
      <c r="R38" s="14" t="str">
        <f t="shared" si="11"/>
        <v>0</v>
      </c>
      <c r="S38" s="14">
        <f t="shared" si="11"/>
        <v>408.36901881720428</v>
      </c>
      <c r="T38" s="14">
        <f t="shared" si="11"/>
        <v>652.29112903225803</v>
      </c>
      <c r="U38" s="14">
        <f t="shared" si="12"/>
        <v>1060.6601478494622</v>
      </c>
    </row>
    <row r="39" spans="1:21" x14ac:dyDescent="0.25">
      <c r="A39" s="32" t="s">
        <v>0</v>
      </c>
      <c r="B39" s="11">
        <f t="shared" ref="B39:O39" si="13">SUM(B8:B38)</f>
        <v>0.1340785537494274</v>
      </c>
      <c r="C39" s="11">
        <f t="shared" si="13"/>
        <v>0.16722071396589078</v>
      </c>
      <c r="D39" s="11">
        <f t="shared" si="13"/>
        <v>0.38315400919002357</v>
      </c>
      <c r="E39" s="11">
        <f t="shared" si="13"/>
        <v>0.31554672309465825</v>
      </c>
      <c r="F39" s="11">
        <f t="shared" si="13"/>
        <v>1.0000000000000002</v>
      </c>
      <c r="G39" s="11">
        <f t="shared" si="13"/>
        <v>0.13407855374942737</v>
      </c>
      <c r="H39" s="11">
        <f t="shared" si="13"/>
        <v>0.16722071396589078</v>
      </c>
      <c r="I39" s="11">
        <f t="shared" si="13"/>
        <v>0.38315400919002357</v>
      </c>
      <c r="J39" s="11">
        <f t="shared" si="13"/>
        <v>0.31554672309465814</v>
      </c>
      <c r="K39" s="11">
        <f t="shared" si="13"/>
        <v>1</v>
      </c>
      <c r="L39" s="13">
        <f t="shared" si="13"/>
        <v>4766368</v>
      </c>
      <c r="M39" s="13">
        <f t="shared" si="13"/>
        <v>5944541</v>
      </c>
      <c r="N39" s="13">
        <f t="shared" si="13"/>
        <v>13620769</v>
      </c>
      <c r="O39" s="13">
        <f t="shared" si="13"/>
        <v>11217392.800000001</v>
      </c>
      <c r="P39" s="13">
        <f>SUM(L39:O39)</f>
        <v>35549070.799999997</v>
      </c>
      <c r="Q39" s="14">
        <f t="shared" si="11"/>
        <v>7367.369892473117</v>
      </c>
      <c r="R39" s="14">
        <f t="shared" si="11"/>
        <v>9188.4706317204291</v>
      </c>
      <c r="S39" s="14">
        <f t="shared" si="11"/>
        <v>21053.607997311825</v>
      </c>
      <c r="T39" s="14">
        <f t="shared" si="11"/>
        <v>17338.711989247313</v>
      </c>
      <c r="U39" s="14">
        <f t="shared" si="12"/>
        <v>54948.160510752685</v>
      </c>
    </row>
    <row r="40" spans="1:21" x14ac:dyDescent="0.25">
      <c r="Q40" s="14" t="str">
        <f t="shared" si="11"/>
        <v>0</v>
      </c>
      <c r="R40" s="14" t="str">
        <f t="shared" si="11"/>
        <v>0</v>
      </c>
      <c r="S40" s="14" t="str">
        <f t="shared" si="11"/>
        <v>0</v>
      </c>
      <c r="T40" s="14" t="str">
        <f t="shared" si="11"/>
        <v>0</v>
      </c>
      <c r="U40" s="14">
        <f t="shared" si="12"/>
        <v>0</v>
      </c>
    </row>
    <row r="41" spans="1:21" x14ac:dyDescent="0.25">
      <c r="A41" s="26" t="s">
        <v>46</v>
      </c>
      <c r="B41" s="2" t="s">
        <v>78</v>
      </c>
      <c r="Q41" s="6"/>
      <c r="R41" s="6"/>
      <c r="S41" s="6"/>
      <c r="T41" s="6"/>
      <c r="U41" s="6"/>
    </row>
    <row r="42" spans="1:21" x14ac:dyDescent="0.25">
      <c r="A42" s="26"/>
      <c r="B42" s="2" t="s">
        <v>79</v>
      </c>
      <c r="Q42" s="6"/>
      <c r="R42" s="6"/>
      <c r="S42" s="6"/>
      <c r="T42" s="6"/>
      <c r="U42" s="6"/>
    </row>
    <row r="43" spans="1:21" x14ac:dyDescent="0.25">
      <c r="B43" s="6" t="s">
        <v>85</v>
      </c>
      <c r="Q43" s="6"/>
      <c r="R43" s="6"/>
      <c r="S43" s="6"/>
      <c r="T43" s="6"/>
      <c r="U43" s="6"/>
    </row>
    <row r="44" spans="1:21" s="2" customFormat="1" x14ac:dyDescent="0.25">
      <c r="B44" s="2" t="s">
        <v>84</v>
      </c>
      <c r="Q44" s="14" t="str">
        <f t="shared" ref="Q44:T44" si="14">IF(L44/744*1.15=0,"0",L44/744*1.15)</f>
        <v>0</v>
      </c>
      <c r="R44" s="14" t="str">
        <f t="shared" si="14"/>
        <v>0</v>
      </c>
      <c r="S44" s="14" t="str">
        <f t="shared" si="14"/>
        <v>0</v>
      </c>
      <c r="T44" s="14" t="str">
        <f t="shared" si="14"/>
        <v>0</v>
      </c>
      <c r="U44" s="14">
        <f t="shared" ref="U44" si="15">Q44+R44+S44+T44</f>
        <v>0</v>
      </c>
    </row>
    <row r="48" spans="1:21" s="2" customFormat="1" x14ac:dyDescent="0.25"/>
    <row r="49" spans="1:257" s="2" customFormat="1" ht="15.75" x14ac:dyDescent="0.25">
      <c r="A49" s="27" t="s">
        <v>76</v>
      </c>
      <c r="B49" s="33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5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  <c r="GA49" s="25"/>
      <c r="GB49" s="25"/>
      <c r="GC49" s="25"/>
      <c r="GD49" s="25"/>
      <c r="GE49" s="25"/>
      <c r="GF49" s="25"/>
      <c r="GG49" s="25"/>
      <c r="GH49" s="25"/>
      <c r="GI49" s="25"/>
      <c r="GJ49" s="25"/>
      <c r="GK49" s="25"/>
      <c r="GL49" s="25"/>
      <c r="GM49" s="25"/>
      <c r="GN49" s="25"/>
      <c r="GO49" s="25"/>
      <c r="GP49" s="25"/>
      <c r="GQ49" s="25"/>
      <c r="GR49" s="25"/>
      <c r="GS49" s="25"/>
      <c r="GT49" s="25"/>
      <c r="GU49" s="25"/>
      <c r="GV49" s="25"/>
      <c r="GW49" s="25"/>
      <c r="GX49" s="25"/>
      <c r="GY49" s="25"/>
      <c r="GZ49" s="25"/>
      <c r="HA49" s="25"/>
      <c r="HB49" s="25"/>
      <c r="HC49" s="25"/>
      <c r="HD49" s="25"/>
      <c r="HE49" s="25"/>
      <c r="HF49" s="25"/>
      <c r="HG49" s="25"/>
      <c r="HH49" s="25"/>
      <c r="HI49" s="25"/>
      <c r="HJ49" s="25"/>
      <c r="HK49" s="25"/>
      <c r="HL49" s="25"/>
      <c r="HM49" s="25"/>
      <c r="HN49" s="25"/>
      <c r="HO49" s="25"/>
      <c r="HP49" s="25"/>
      <c r="HQ49" s="25"/>
      <c r="HR49" s="25"/>
      <c r="HS49" s="25"/>
      <c r="HT49" s="25"/>
      <c r="HU49" s="25"/>
      <c r="HV49" s="25"/>
      <c r="HW49" s="25"/>
      <c r="HX49" s="25"/>
      <c r="HY49" s="25"/>
      <c r="HZ49" s="25"/>
      <c r="IA49" s="25"/>
      <c r="IB49" s="25"/>
      <c r="IC49" s="25"/>
      <c r="ID49" s="25"/>
      <c r="IE49" s="25"/>
      <c r="IF49" s="25"/>
      <c r="IG49" s="25"/>
      <c r="IH49" s="25"/>
      <c r="II49" s="25"/>
      <c r="IJ49" s="25"/>
      <c r="IK49" s="25"/>
      <c r="IL49" s="25"/>
      <c r="IM49" s="25"/>
      <c r="IN49" s="25"/>
      <c r="IO49" s="25"/>
      <c r="IP49" s="25"/>
      <c r="IQ49" s="25"/>
      <c r="IR49" s="25"/>
      <c r="IS49" s="25"/>
      <c r="IT49" s="25"/>
      <c r="IU49" s="25"/>
      <c r="IV49" s="25"/>
      <c r="IW49" s="25"/>
    </row>
    <row r="50" spans="1:257" s="2" customFormat="1" ht="15.75" x14ac:dyDescent="0.25">
      <c r="A50" s="27"/>
      <c r="B50" s="33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  <c r="IK50" s="25"/>
      <c r="IL50" s="25"/>
      <c r="IM50" s="25"/>
      <c r="IN50" s="25"/>
      <c r="IO50" s="25"/>
      <c r="IP50" s="25"/>
      <c r="IQ50" s="25"/>
      <c r="IR50" s="25"/>
      <c r="IS50" s="25"/>
      <c r="IT50" s="25"/>
      <c r="IU50" s="25"/>
      <c r="IV50" s="25"/>
      <c r="IW50" s="25"/>
    </row>
    <row r="51" spans="1:257" s="2" customFormat="1" ht="15.75" x14ac:dyDescent="0.25">
      <c r="A51" s="27" t="s">
        <v>77</v>
      </c>
      <c r="B51" s="33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  <c r="IK51" s="25"/>
      <c r="IL51" s="25"/>
      <c r="IM51" s="25"/>
      <c r="IN51" s="25"/>
      <c r="IO51" s="25"/>
      <c r="IP51" s="25"/>
      <c r="IQ51" s="25"/>
      <c r="IR51" s="25"/>
      <c r="IS51" s="25"/>
      <c r="IT51" s="25"/>
      <c r="IU51" s="25"/>
      <c r="IV51" s="25"/>
      <c r="IW51" s="25"/>
    </row>
  </sheetData>
  <mergeCells count="7">
    <mergeCell ref="Q5:U6"/>
    <mergeCell ref="A2:K2"/>
    <mergeCell ref="A3:K3"/>
    <mergeCell ref="A5:A6"/>
    <mergeCell ref="B5:F6"/>
    <mergeCell ref="G5:K6"/>
    <mergeCell ref="L5:P6"/>
  </mergeCells>
  <pageMargins left="0.7" right="0.7" top="0.75" bottom="0.75" header="0.3" footer="0.3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W52"/>
  <sheetViews>
    <sheetView view="pageBreakPreview" topLeftCell="A31" zoomScaleNormal="100" zoomScaleSheetLayoutView="100" workbookViewId="0">
      <selection activeCell="K31" sqref="K1:X1048576"/>
    </sheetView>
  </sheetViews>
  <sheetFormatPr defaultRowHeight="15" x14ac:dyDescent="0.25"/>
  <cols>
    <col min="1" max="1" width="38" style="6" customWidth="1"/>
    <col min="2" max="13" width="9.140625" style="6" customWidth="1"/>
    <col min="14" max="14" width="9.85546875" style="6" customWidth="1"/>
    <col min="15" max="15" width="10.140625" style="6" customWidth="1"/>
    <col min="16" max="16" width="10" style="6" customWidth="1"/>
    <col min="17" max="21" width="9.140625" style="28" customWidth="1"/>
    <col min="22" max="23" width="9.140625" style="6" customWidth="1"/>
    <col min="24" max="16384" width="9.140625" style="6"/>
  </cols>
  <sheetData>
    <row r="1" spans="1:21" ht="15.75" x14ac:dyDescent="0.25">
      <c r="J1" s="59" t="s">
        <v>100</v>
      </c>
    </row>
    <row r="2" spans="1:21" ht="15.75" x14ac:dyDescent="0.25">
      <c r="A2" s="67" t="s">
        <v>33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21" ht="15.75" x14ac:dyDescent="0.25">
      <c r="A3" s="67" t="s">
        <v>63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21" x14ac:dyDescent="0.25">
      <c r="A4" s="18" t="s">
        <v>34</v>
      </c>
      <c r="B4" s="4"/>
      <c r="C4" s="4"/>
      <c r="D4" s="4"/>
      <c r="E4" s="4"/>
      <c r="F4" s="5"/>
      <c r="K4" s="7"/>
    </row>
    <row r="5" spans="1:21" x14ac:dyDescent="0.25">
      <c r="A5" s="68" t="s">
        <v>35</v>
      </c>
      <c r="B5" s="66" t="s">
        <v>29</v>
      </c>
      <c r="C5" s="66"/>
      <c r="D5" s="66"/>
      <c r="E5" s="66"/>
      <c r="F5" s="66"/>
      <c r="G5" s="66" t="s">
        <v>36</v>
      </c>
      <c r="H5" s="66"/>
      <c r="I5" s="66"/>
      <c r="J5" s="66"/>
      <c r="K5" s="66"/>
      <c r="L5" s="66" t="s">
        <v>42</v>
      </c>
      <c r="M5" s="66"/>
      <c r="N5" s="66"/>
      <c r="O5" s="66"/>
      <c r="P5" s="66"/>
      <c r="Q5" s="66" t="s">
        <v>43</v>
      </c>
      <c r="R5" s="66"/>
      <c r="S5" s="66"/>
      <c r="T5" s="66"/>
      <c r="U5" s="66"/>
    </row>
    <row r="6" spans="1:21" x14ac:dyDescent="0.25">
      <c r="A6" s="69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</row>
    <row r="7" spans="1:21" x14ac:dyDescent="0.25">
      <c r="A7" s="29" t="s">
        <v>37</v>
      </c>
      <c r="B7" s="9" t="s">
        <v>1</v>
      </c>
      <c r="C7" s="9" t="s">
        <v>39</v>
      </c>
      <c r="D7" s="9" t="s">
        <v>40</v>
      </c>
      <c r="E7" s="9" t="s">
        <v>2</v>
      </c>
      <c r="F7" s="9" t="s">
        <v>41</v>
      </c>
      <c r="G7" s="9" t="s">
        <v>1</v>
      </c>
      <c r="H7" s="9" t="s">
        <v>39</v>
      </c>
      <c r="I7" s="9" t="s">
        <v>40</v>
      </c>
      <c r="J7" s="9" t="s">
        <v>2</v>
      </c>
      <c r="K7" s="9" t="s">
        <v>41</v>
      </c>
      <c r="L7" s="9" t="s">
        <v>1</v>
      </c>
      <c r="M7" s="9" t="s">
        <v>39</v>
      </c>
      <c r="N7" s="9" t="s">
        <v>40</v>
      </c>
      <c r="O7" s="9" t="s">
        <v>2</v>
      </c>
      <c r="P7" s="9" t="s">
        <v>41</v>
      </c>
      <c r="Q7" s="9" t="s">
        <v>1</v>
      </c>
      <c r="R7" s="9" t="s">
        <v>39</v>
      </c>
      <c r="S7" s="9" t="s">
        <v>40</v>
      </c>
      <c r="T7" s="9" t="s">
        <v>2</v>
      </c>
      <c r="U7" s="9" t="s">
        <v>41</v>
      </c>
    </row>
    <row r="8" spans="1:21" x14ac:dyDescent="0.25">
      <c r="A8" s="30" t="s">
        <v>3</v>
      </c>
      <c r="B8" s="11">
        <f t="shared" ref="B8:B39" si="0">IF(L8/$P$40=0,"-",L8/$P$40)</f>
        <v>7.1504666032720142E-3</v>
      </c>
      <c r="C8" s="11" t="str">
        <f t="shared" ref="C8:C39" si="1">IF(M8/$P$40=0,"-",M8/$P$40)</f>
        <v>-</v>
      </c>
      <c r="D8" s="11" t="str">
        <f t="shared" ref="D8:D39" si="2">IF(N8/$P$40=0,"-",N8/$P$40)</f>
        <v>-</v>
      </c>
      <c r="E8" s="11" t="str">
        <f t="shared" ref="E8:E39" si="3">IF(O8/$P$40=0,"-",O8/$P$40)</f>
        <v>-</v>
      </c>
      <c r="F8" s="11">
        <f t="shared" ref="F8:F39" si="4">P8/$P$40</f>
        <v>7.1504666032720142E-3</v>
      </c>
      <c r="G8" s="11">
        <f t="shared" ref="G8:G39" si="5">IF(Q8/$U$40=0,"-",Q8/$U$40)</f>
        <v>7.1504666032720142E-3</v>
      </c>
      <c r="H8" s="11" t="str">
        <f t="shared" ref="H8:H39" si="6">IF(R8/$U$40=0,"-",R8/$U$40)</f>
        <v>-</v>
      </c>
      <c r="I8" s="11" t="str">
        <f t="shared" ref="I8:I39" si="7">IF(S8/$U$40=0,"-",S8/$U$40)</f>
        <v>-</v>
      </c>
      <c r="J8" s="11" t="str">
        <f t="shared" ref="J8:J39" si="8">IF(T8/$U$40=0,"-",T8/$U$40)</f>
        <v>-</v>
      </c>
      <c r="K8" s="11">
        <f t="shared" ref="K8:K39" si="9">IF(U8/$U$40=0,"-",U8/$U$40)</f>
        <v>7.1504666032720142E-3</v>
      </c>
      <c r="L8" s="13">
        <v>245881</v>
      </c>
      <c r="M8" s="13"/>
      <c r="N8" s="13"/>
      <c r="O8" s="13"/>
      <c r="P8" s="13">
        <f t="shared" ref="P8:P39" si="10">SUM(L8:O8)</f>
        <v>245881</v>
      </c>
      <c r="Q8" s="14">
        <f t="shared" ref="Q8:T41" si="11">IF(L8/744*1.15=0,"0",L8/744*1.15)</f>
        <v>380.05799731182793</v>
      </c>
      <c r="R8" s="14" t="str">
        <f t="shared" si="11"/>
        <v>0</v>
      </c>
      <c r="S8" s="14" t="str">
        <f t="shared" si="11"/>
        <v>0</v>
      </c>
      <c r="T8" s="14" t="str">
        <f t="shared" si="11"/>
        <v>0</v>
      </c>
      <c r="U8" s="14">
        <f t="shared" ref="U8:U41" si="12">Q8+R8+S8+T8</f>
        <v>380.05799731182793</v>
      </c>
    </row>
    <row r="9" spans="1:21" x14ac:dyDescent="0.25">
      <c r="A9" s="30" t="s">
        <v>4</v>
      </c>
      <c r="B9" s="11" t="str">
        <f t="shared" si="0"/>
        <v>-</v>
      </c>
      <c r="C9" s="11" t="str">
        <f t="shared" si="1"/>
        <v>-</v>
      </c>
      <c r="D9" s="11">
        <f t="shared" si="2"/>
        <v>2.1787110932140145E-2</v>
      </c>
      <c r="E9" s="11">
        <f t="shared" si="3"/>
        <v>1.4196648722426373E-2</v>
      </c>
      <c r="F9" s="11">
        <f t="shared" si="4"/>
        <v>3.5983759654566516E-2</v>
      </c>
      <c r="G9" s="11" t="str">
        <f t="shared" si="5"/>
        <v>-</v>
      </c>
      <c r="H9" s="11" t="str">
        <f t="shared" si="6"/>
        <v>-</v>
      </c>
      <c r="I9" s="11">
        <f t="shared" si="7"/>
        <v>2.1787110932140141E-2</v>
      </c>
      <c r="J9" s="11">
        <f t="shared" si="8"/>
        <v>1.4196648722426371E-2</v>
      </c>
      <c r="K9" s="11">
        <f t="shared" si="9"/>
        <v>3.5983759654566516E-2</v>
      </c>
      <c r="L9" s="13"/>
      <c r="M9" s="13"/>
      <c r="N9" s="13">
        <v>749187</v>
      </c>
      <c r="O9" s="13">
        <v>488176</v>
      </c>
      <c r="P9" s="13">
        <f t="shared" si="10"/>
        <v>1237363</v>
      </c>
      <c r="Q9" s="14" t="str">
        <f t="shared" si="11"/>
        <v>0</v>
      </c>
      <c r="R9" s="14" t="str">
        <f t="shared" si="11"/>
        <v>0</v>
      </c>
      <c r="S9" s="14">
        <f t="shared" si="11"/>
        <v>1158.0175403225805</v>
      </c>
      <c r="T9" s="14">
        <f t="shared" si="11"/>
        <v>754.57311827956983</v>
      </c>
      <c r="U9" s="14">
        <f t="shared" si="12"/>
        <v>1912.5906586021504</v>
      </c>
    </row>
    <row r="10" spans="1:21" x14ac:dyDescent="0.25">
      <c r="A10" s="30" t="s">
        <v>51</v>
      </c>
      <c r="B10" s="11" t="str">
        <f t="shared" si="0"/>
        <v>-</v>
      </c>
      <c r="C10" s="11" t="str">
        <f t="shared" si="1"/>
        <v>-</v>
      </c>
      <c r="D10" s="11">
        <f t="shared" si="2"/>
        <v>1.8759254848101623E-2</v>
      </c>
      <c r="E10" s="11">
        <f t="shared" si="3"/>
        <v>1.2044392619508463E-2</v>
      </c>
      <c r="F10" s="11">
        <f t="shared" si="4"/>
        <v>3.0803647467610086E-2</v>
      </c>
      <c r="G10" s="11" t="str">
        <f t="shared" si="5"/>
        <v>-</v>
      </c>
      <c r="H10" s="11" t="str">
        <f t="shared" si="6"/>
        <v>-</v>
      </c>
      <c r="I10" s="11">
        <f t="shared" si="7"/>
        <v>1.875925484810162E-2</v>
      </c>
      <c r="J10" s="11">
        <f t="shared" si="8"/>
        <v>1.2044392619508461E-2</v>
      </c>
      <c r="K10" s="11">
        <f t="shared" si="9"/>
        <v>3.0803647467610079E-2</v>
      </c>
      <c r="L10" s="13"/>
      <c r="M10" s="13"/>
      <c r="N10" s="13">
        <v>645069</v>
      </c>
      <c r="O10" s="13">
        <v>414167</v>
      </c>
      <c r="P10" s="13">
        <f t="shared" si="10"/>
        <v>1059236</v>
      </c>
      <c r="Q10" s="14" t="str">
        <f t="shared" si="11"/>
        <v>0</v>
      </c>
      <c r="R10" s="14" t="str">
        <f t="shared" si="11"/>
        <v>0</v>
      </c>
      <c r="S10" s="14">
        <f t="shared" si="11"/>
        <v>997.08245967741925</v>
      </c>
      <c r="T10" s="14">
        <f t="shared" si="11"/>
        <v>640.17748655913965</v>
      </c>
      <c r="U10" s="14">
        <f t="shared" si="12"/>
        <v>1637.2599462365588</v>
      </c>
    </row>
    <row r="11" spans="1:21" x14ac:dyDescent="0.25">
      <c r="A11" s="30" t="s">
        <v>6</v>
      </c>
      <c r="B11" s="11" t="str">
        <f t="shared" si="0"/>
        <v>-</v>
      </c>
      <c r="C11" s="11" t="str">
        <f t="shared" si="1"/>
        <v>-</v>
      </c>
      <c r="D11" s="11">
        <f t="shared" si="2"/>
        <v>3.2802501268876954E-3</v>
      </c>
      <c r="E11" s="11">
        <f t="shared" si="3"/>
        <v>9.1515887229329639E-3</v>
      </c>
      <c r="F11" s="11">
        <f t="shared" si="4"/>
        <v>1.2431838849820659E-2</v>
      </c>
      <c r="G11" s="11" t="str">
        <f t="shared" si="5"/>
        <v>-</v>
      </c>
      <c r="H11" s="11" t="str">
        <f t="shared" si="6"/>
        <v>-</v>
      </c>
      <c r="I11" s="11">
        <f t="shared" si="7"/>
        <v>3.280250126887695E-3</v>
      </c>
      <c r="J11" s="11">
        <f t="shared" si="8"/>
        <v>9.1515887229329639E-3</v>
      </c>
      <c r="K11" s="11">
        <f t="shared" si="9"/>
        <v>1.2431838849820657E-2</v>
      </c>
      <c r="L11" s="13"/>
      <c r="M11" s="13"/>
      <c r="N11" s="13">
        <v>112797</v>
      </c>
      <c r="O11" s="13">
        <v>314693</v>
      </c>
      <c r="P11" s="13">
        <f t="shared" si="10"/>
        <v>427490</v>
      </c>
      <c r="Q11" s="14" t="str">
        <f t="shared" si="11"/>
        <v>0</v>
      </c>
      <c r="R11" s="14" t="str">
        <f t="shared" si="11"/>
        <v>0</v>
      </c>
      <c r="S11" s="14">
        <f t="shared" si="11"/>
        <v>174.35020161290319</v>
      </c>
      <c r="T11" s="14">
        <f t="shared" si="11"/>
        <v>486.42063172043009</v>
      </c>
      <c r="U11" s="14">
        <f t="shared" si="12"/>
        <v>660.77083333333326</v>
      </c>
    </row>
    <row r="12" spans="1:21" x14ac:dyDescent="0.25">
      <c r="A12" s="30" t="s">
        <v>52</v>
      </c>
      <c r="B12" s="11">
        <f t="shared" si="0"/>
        <v>5.0392059931763745E-2</v>
      </c>
      <c r="C12" s="11">
        <f t="shared" si="1"/>
        <v>1.6223972827639471E-2</v>
      </c>
      <c r="D12" s="11">
        <f t="shared" si="2"/>
        <v>0.16704254350380221</v>
      </c>
      <c r="E12" s="11">
        <f t="shared" si="3"/>
        <v>4.6472725637846046E-2</v>
      </c>
      <c r="F12" s="11">
        <f t="shared" si="4"/>
        <v>0.28013130190105145</v>
      </c>
      <c r="G12" s="11">
        <f t="shared" si="5"/>
        <v>5.0392059931763745E-2</v>
      </c>
      <c r="H12" s="11">
        <f t="shared" si="6"/>
        <v>1.6223972827639471E-2</v>
      </c>
      <c r="I12" s="11">
        <f t="shared" si="7"/>
        <v>0.16704254350380221</v>
      </c>
      <c r="J12" s="11">
        <f t="shared" si="8"/>
        <v>4.6472725637846046E-2</v>
      </c>
      <c r="K12" s="11">
        <f t="shared" si="9"/>
        <v>0.28013130190105145</v>
      </c>
      <c r="L12" s="13">
        <v>1732817</v>
      </c>
      <c r="M12" s="13">
        <v>557889</v>
      </c>
      <c r="N12" s="13">
        <v>5744043</v>
      </c>
      <c r="O12" s="13">
        <v>1598044</v>
      </c>
      <c r="P12" s="13">
        <f t="shared" si="10"/>
        <v>9632793</v>
      </c>
      <c r="Q12" s="14">
        <f t="shared" si="11"/>
        <v>2678.4133736559138</v>
      </c>
      <c r="R12" s="14">
        <f t="shared" si="11"/>
        <v>862.32842741935485</v>
      </c>
      <c r="S12" s="14">
        <f t="shared" si="11"/>
        <v>8878.5610887096773</v>
      </c>
      <c r="T12" s="14">
        <f t="shared" si="11"/>
        <v>2470.0948924731183</v>
      </c>
      <c r="U12" s="14">
        <f t="shared" si="12"/>
        <v>14889.397782258064</v>
      </c>
    </row>
    <row r="13" spans="1:21" x14ac:dyDescent="0.25">
      <c r="A13" s="30" t="s">
        <v>9</v>
      </c>
      <c r="B13" s="11" t="str">
        <f t="shared" si="0"/>
        <v>-</v>
      </c>
      <c r="C13" s="11" t="str">
        <f t="shared" si="1"/>
        <v>-</v>
      </c>
      <c r="D13" s="11">
        <f t="shared" si="2"/>
        <v>6.335035221604674E-3</v>
      </c>
      <c r="E13" s="11">
        <f t="shared" si="3"/>
        <v>6.5314483297281125E-3</v>
      </c>
      <c r="F13" s="11">
        <f t="shared" si="4"/>
        <v>1.2866483551332786E-2</v>
      </c>
      <c r="G13" s="11" t="str">
        <f t="shared" si="5"/>
        <v>-</v>
      </c>
      <c r="H13" s="11" t="str">
        <f t="shared" si="6"/>
        <v>-</v>
      </c>
      <c r="I13" s="11">
        <f t="shared" si="7"/>
        <v>6.3350352216046749E-3</v>
      </c>
      <c r="J13" s="11">
        <f t="shared" si="8"/>
        <v>6.5314483297281133E-3</v>
      </c>
      <c r="K13" s="11">
        <f t="shared" si="9"/>
        <v>1.2866483551332788E-2</v>
      </c>
      <c r="L13" s="13"/>
      <c r="M13" s="13"/>
      <c r="N13" s="13">
        <v>217841</v>
      </c>
      <c r="O13" s="13">
        <v>224595</v>
      </c>
      <c r="P13" s="13">
        <f t="shared" si="10"/>
        <v>442436</v>
      </c>
      <c r="Q13" s="14" t="str">
        <f t="shared" si="11"/>
        <v>0</v>
      </c>
      <c r="R13" s="14" t="str">
        <f t="shared" si="11"/>
        <v>0</v>
      </c>
      <c r="S13" s="14">
        <f t="shared" si="11"/>
        <v>336.71659946236559</v>
      </c>
      <c r="T13" s="14">
        <f t="shared" si="11"/>
        <v>347.15625</v>
      </c>
      <c r="U13" s="14">
        <f t="shared" si="12"/>
        <v>683.87284946236559</v>
      </c>
    </row>
    <row r="14" spans="1:21" x14ac:dyDescent="0.25">
      <c r="A14" s="30" t="s">
        <v>10</v>
      </c>
      <c r="B14" s="11" t="str">
        <f t="shared" si="0"/>
        <v>-</v>
      </c>
      <c r="C14" s="11" t="str">
        <f t="shared" si="1"/>
        <v>-</v>
      </c>
      <c r="D14" s="11">
        <f t="shared" si="2"/>
        <v>1.8341680696555212E-2</v>
      </c>
      <c r="E14" s="11">
        <f t="shared" si="3"/>
        <v>8.3157133947138352E-3</v>
      </c>
      <c r="F14" s="11">
        <f t="shared" si="4"/>
        <v>2.6657394091269049E-2</v>
      </c>
      <c r="G14" s="11" t="str">
        <f t="shared" si="5"/>
        <v>-</v>
      </c>
      <c r="H14" s="11" t="str">
        <f t="shared" si="6"/>
        <v>-</v>
      </c>
      <c r="I14" s="11">
        <f t="shared" si="7"/>
        <v>1.8341680696555212E-2</v>
      </c>
      <c r="J14" s="11">
        <f t="shared" si="8"/>
        <v>8.3157133947138352E-3</v>
      </c>
      <c r="K14" s="11">
        <f t="shared" si="9"/>
        <v>2.6657394091269049E-2</v>
      </c>
      <c r="L14" s="13"/>
      <c r="M14" s="13"/>
      <c r="N14" s="13">
        <v>630710</v>
      </c>
      <c r="O14" s="13">
        <v>285950</v>
      </c>
      <c r="P14" s="13">
        <f t="shared" si="10"/>
        <v>916660</v>
      </c>
      <c r="Q14" s="14" t="str">
        <f t="shared" si="11"/>
        <v>0</v>
      </c>
      <c r="R14" s="14" t="str">
        <f t="shared" si="11"/>
        <v>0</v>
      </c>
      <c r="S14" s="14">
        <f t="shared" si="11"/>
        <v>974.88776881720423</v>
      </c>
      <c r="T14" s="14">
        <f t="shared" si="11"/>
        <v>441.99260752688167</v>
      </c>
      <c r="U14" s="14">
        <f t="shared" si="12"/>
        <v>1416.880376344086</v>
      </c>
    </row>
    <row r="15" spans="1:21" x14ac:dyDescent="0.25">
      <c r="A15" s="30" t="s">
        <v>12</v>
      </c>
      <c r="B15" s="11" t="str">
        <f t="shared" si="0"/>
        <v>-</v>
      </c>
      <c r="C15" s="11" t="str">
        <f t="shared" si="1"/>
        <v>-</v>
      </c>
      <c r="D15" s="11">
        <f t="shared" si="2"/>
        <v>5.6827482782809066E-3</v>
      </c>
      <c r="E15" s="11">
        <f t="shared" si="3"/>
        <v>3.4029428872034764E-3</v>
      </c>
      <c r="F15" s="11">
        <f t="shared" si="4"/>
        <v>9.085691165484383E-3</v>
      </c>
      <c r="G15" s="11" t="str">
        <f t="shared" si="5"/>
        <v>-</v>
      </c>
      <c r="H15" s="11" t="str">
        <f t="shared" si="6"/>
        <v>-</v>
      </c>
      <c r="I15" s="11">
        <f t="shared" si="7"/>
        <v>5.6827482782809058E-3</v>
      </c>
      <c r="J15" s="11">
        <f t="shared" si="8"/>
        <v>3.4029428872034764E-3</v>
      </c>
      <c r="K15" s="11">
        <f t="shared" si="9"/>
        <v>9.0856911654843813E-3</v>
      </c>
      <c r="L15" s="13"/>
      <c r="M15" s="13"/>
      <c r="N15" s="13">
        <v>195411</v>
      </c>
      <c r="O15" s="13">
        <v>117016</v>
      </c>
      <c r="P15" s="13">
        <f t="shared" si="10"/>
        <v>312427</v>
      </c>
      <c r="Q15" s="14" t="str">
        <f t="shared" si="11"/>
        <v>0</v>
      </c>
      <c r="R15" s="14" t="str">
        <f t="shared" si="11"/>
        <v>0</v>
      </c>
      <c r="S15" s="14">
        <f t="shared" si="11"/>
        <v>302.04657258064509</v>
      </c>
      <c r="T15" s="14">
        <f t="shared" si="11"/>
        <v>180.87150537634406</v>
      </c>
      <c r="U15" s="14">
        <f t="shared" si="12"/>
        <v>482.91807795698912</v>
      </c>
    </row>
    <row r="16" spans="1:21" x14ac:dyDescent="0.25">
      <c r="A16" s="30" t="s">
        <v>13</v>
      </c>
      <c r="B16" s="11">
        <f t="shared" si="0"/>
        <v>1.6393456925084451E-2</v>
      </c>
      <c r="C16" s="11" t="str">
        <f t="shared" si="1"/>
        <v>-</v>
      </c>
      <c r="D16" s="11">
        <f t="shared" si="2"/>
        <v>5.5384192502061919E-3</v>
      </c>
      <c r="E16" s="11">
        <f t="shared" si="3"/>
        <v>9.1119222320415853E-3</v>
      </c>
      <c r="F16" s="11">
        <f t="shared" si="4"/>
        <v>3.1043798407332228E-2</v>
      </c>
      <c r="G16" s="11">
        <f t="shared" si="5"/>
        <v>1.6393456925084451E-2</v>
      </c>
      <c r="H16" s="11" t="str">
        <f t="shared" si="6"/>
        <v>-</v>
      </c>
      <c r="I16" s="11">
        <f t="shared" si="7"/>
        <v>5.538419250206191E-3</v>
      </c>
      <c r="J16" s="11">
        <f t="shared" si="8"/>
        <v>9.1119222320415853E-3</v>
      </c>
      <c r="K16" s="11">
        <f t="shared" si="9"/>
        <v>3.1043798407332228E-2</v>
      </c>
      <c r="L16" s="13">
        <v>563717</v>
      </c>
      <c r="M16" s="13"/>
      <c r="N16" s="13">
        <v>190448</v>
      </c>
      <c r="O16" s="13">
        <v>313329</v>
      </c>
      <c r="P16" s="13">
        <f t="shared" si="10"/>
        <v>1067494</v>
      </c>
      <c r="Q16" s="14">
        <f t="shared" si="11"/>
        <v>871.33676075268806</v>
      </c>
      <c r="R16" s="14" t="str">
        <f t="shared" si="11"/>
        <v>0</v>
      </c>
      <c r="S16" s="14">
        <f t="shared" si="11"/>
        <v>294.37526881720424</v>
      </c>
      <c r="T16" s="14">
        <f t="shared" si="11"/>
        <v>484.31229838709675</v>
      </c>
      <c r="U16" s="14">
        <f t="shared" si="12"/>
        <v>1650.0243279569891</v>
      </c>
    </row>
    <row r="17" spans="1:23" x14ac:dyDescent="0.25">
      <c r="A17" s="30" t="s">
        <v>14</v>
      </c>
      <c r="B17" s="11" t="str">
        <f t="shared" si="0"/>
        <v>-</v>
      </c>
      <c r="C17" s="11" t="str">
        <f t="shared" si="1"/>
        <v>-</v>
      </c>
      <c r="D17" s="11">
        <f t="shared" si="2"/>
        <v>1.7872371437020706E-2</v>
      </c>
      <c r="E17" s="11">
        <f t="shared" si="3"/>
        <v>1.5941974321647026E-2</v>
      </c>
      <c r="F17" s="11">
        <f t="shared" si="4"/>
        <v>3.3814345758667728E-2</v>
      </c>
      <c r="G17" s="11" t="str">
        <f t="shared" si="5"/>
        <v>-</v>
      </c>
      <c r="H17" s="11" t="str">
        <f t="shared" si="6"/>
        <v>-</v>
      </c>
      <c r="I17" s="11">
        <f t="shared" si="7"/>
        <v>1.7872371437020706E-2</v>
      </c>
      <c r="J17" s="11">
        <f t="shared" si="8"/>
        <v>1.5941974321647026E-2</v>
      </c>
      <c r="K17" s="11">
        <f t="shared" si="9"/>
        <v>3.3814345758667728E-2</v>
      </c>
      <c r="L17" s="13"/>
      <c r="M17" s="13"/>
      <c r="N17" s="13">
        <v>614572</v>
      </c>
      <c r="O17" s="13">
        <v>548192</v>
      </c>
      <c r="P17" s="13">
        <f t="shared" si="10"/>
        <v>1162764</v>
      </c>
      <c r="Q17" s="14" t="str">
        <f t="shared" si="11"/>
        <v>0</v>
      </c>
      <c r="R17" s="14" t="str">
        <f t="shared" si="11"/>
        <v>0</v>
      </c>
      <c r="S17" s="14">
        <f t="shared" si="11"/>
        <v>949.94327956989241</v>
      </c>
      <c r="T17" s="14">
        <f t="shared" si="11"/>
        <v>847.33978494623659</v>
      </c>
      <c r="U17" s="14">
        <f t="shared" si="12"/>
        <v>1797.2830645161289</v>
      </c>
    </row>
    <row r="18" spans="1:23" x14ac:dyDescent="0.25">
      <c r="A18" s="30" t="s">
        <v>15</v>
      </c>
      <c r="B18" s="11" t="str">
        <f t="shared" si="0"/>
        <v>-</v>
      </c>
      <c r="C18" s="11" t="str">
        <f t="shared" si="1"/>
        <v>-</v>
      </c>
      <c r="D18" s="11">
        <f t="shared" si="2"/>
        <v>9.2617766510762426E-3</v>
      </c>
      <c r="E18" s="11">
        <f t="shared" si="3"/>
        <v>1.2809950077511057E-2</v>
      </c>
      <c r="F18" s="11">
        <f t="shared" si="4"/>
        <v>2.2071726728587301E-2</v>
      </c>
      <c r="G18" s="11" t="str">
        <f t="shared" si="5"/>
        <v>-</v>
      </c>
      <c r="H18" s="11" t="str">
        <f t="shared" si="6"/>
        <v>-</v>
      </c>
      <c r="I18" s="11">
        <f t="shared" si="7"/>
        <v>9.2617766510762426E-3</v>
      </c>
      <c r="J18" s="11">
        <f t="shared" si="8"/>
        <v>1.2809950077511055E-2</v>
      </c>
      <c r="K18" s="11">
        <f t="shared" si="9"/>
        <v>2.2071726728587298E-2</v>
      </c>
      <c r="L18" s="13"/>
      <c r="M18" s="13"/>
      <c r="N18" s="13">
        <v>318482</v>
      </c>
      <c r="O18" s="13">
        <v>440492</v>
      </c>
      <c r="P18" s="13">
        <f t="shared" si="10"/>
        <v>758974</v>
      </c>
      <c r="Q18" s="14" t="str">
        <f t="shared" si="11"/>
        <v>0</v>
      </c>
      <c r="R18" s="14" t="str">
        <f t="shared" si="11"/>
        <v>0</v>
      </c>
      <c r="S18" s="14">
        <f t="shared" si="11"/>
        <v>492.27728494623653</v>
      </c>
      <c r="T18" s="14">
        <f t="shared" si="11"/>
        <v>680.86801075268806</v>
      </c>
      <c r="U18" s="14">
        <f t="shared" si="12"/>
        <v>1173.1452956989247</v>
      </c>
    </row>
    <row r="19" spans="1:23" x14ac:dyDescent="0.25">
      <c r="A19" s="30" t="s">
        <v>16</v>
      </c>
      <c r="B19" s="11" t="str">
        <f t="shared" si="0"/>
        <v>-</v>
      </c>
      <c r="C19" s="11" t="str">
        <f t="shared" si="1"/>
        <v>-</v>
      </c>
      <c r="D19" s="11">
        <f t="shared" si="2"/>
        <v>1.6110702312960645E-2</v>
      </c>
      <c r="E19" s="11">
        <f t="shared" si="3"/>
        <v>2.3646259585135616E-2</v>
      </c>
      <c r="F19" s="11">
        <f t="shared" si="4"/>
        <v>3.9756961898096264E-2</v>
      </c>
      <c r="G19" s="11" t="str">
        <f t="shared" si="5"/>
        <v>-</v>
      </c>
      <c r="H19" s="11" t="str">
        <f t="shared" si="6"/>
        <v>-</v>
      </c>
      <c r="I19" s="11">
        <f t="shared" si="7"/>
        <v>1.6110702312960645E-2</v>
      </c>
      <c r="J19" s="11">
        <f t="shared" si="8"/>
        <v>2.3646259585135613E-2</v>
      </c>
      <c r="K19" s="11">
        <f t="shared" si="9"/>
        <v>3.9756961898096251E-2</v>
      </c>
      <c r="L19" s="13"/>
      <c r="M19" s="13"/>
      <c r="N19" s="13">
        <v>553994</v>
      </c>
      <c r="O19" s="13">
        <v>813117</v>
      </c>
      <c r="P19" s="13">
        <f t="shared" si="10"/>
        <v>1367111</v>
      </c>
      <c r="Q19" s="14" t="str">
        <f t="shared" si="11"/>
        <v>0</v>
      </c>
      <c r="R19" s="14" t="str">
        <f t="shared" si="11"/>
        <v>0</v>
      </c>
      <c r="S19" s="14">
        <f t="shared" si="11"/>
        <v>856.30793010752677</v>
      </c>
      <c r="T19" s="14">
        <f t="shared" si="11"/>
        <v>1256.8340725806449</v>
      </c>
      <c r="U19" s="14">
        <f t="shared" si="12"/>
        <v>2113.1420026881715</v>
      </c>
    </row>
    <row r="20" spans="1:23" x14ac:dyDescent="0.25">
      <c r="A20" s="30" t="s">
        <v>47</v>
      </c>
      <c r="B20" s="11" t="str">
        <f t="shared" si="0"/>
        <v>-</v>
      </c>
      <c r="C20" s="11" t="str">
        <f t="shared" si="1"/>
        <v>-</v>
      </c>
      <c r="D20" s="11">
        <f t="shared" si="2"/>
        <v>5.7413465034613521E-3</v>
      </c>
      <c r="E20" s="11">
        <f t="shared" si="3"/>
        <v>1.2735444542566986E-3</v>
      </c>
      <c r="F20" s="11">
        <f t="shared" si="4"/>
        <v>7.0148909577180509E-3</v>
      </c>
      <c r="G20" s="11" t="str">
        <f t="shared" si="5"/>
        <v>-</v>
      </c>
      <c r="H20" s="11" t="str">
        <f t="shared" si="6"/>
        <v>-</v>
      </c>
      <c r="I20" s="11">
        <f t="shared" si="7"/>
        <v>5.7413465034613521E-3</v>
      </c>
      <c r="J20" s="11">
        <f t="shared" si="8"/>
        <v>1.2735444542566986E-3</v>
      </c>
      <c r="K20" s="11">
        <f t="shared" si="9"/>
        <v>7.01489095771805E-3</v>
      </c>
      <c r="L20" s="13"/>
      <c r="M20" s="13"/>
      <c r="N20" s="13">
        <f>52658+144768</f>
        <v>197426</v>
      </c>
      <c r="O20" s="13">
        <v>43793</v>
      </c>
      <c r="P20" s="13">
        <f t="shared" si="10"/>
        <v>241219</v>
      </c>
      <c r="Q20" s="14" t="str">
        <f t="shared" si="11"/>
        <v>0</v>
      </c>
      <c r="R20" s="14" t="str">
        <f t="shared" si="11"/>
        <v>0</v>
      </c>
      <c r="S20" s="14">
        <f t="shared" si="11"/>
        <v>305.16115591397846</v>
      </c>
      <c r="T20" s="14">
        <f t="shared" si="11"/>
        <v>67.690793010752685</v>
      </c>
      <c r="U20" s="14">
        <f t="shared" si="12"/>
        <v>372.85194892473112</v>
      </c>
    </row>
    <row r="21" spans="1:23" x14ac:dyDescent="0.25">
      <c r="A21" s="30" t="s">
        <v>45</v>
      </c>
      <c r="B21" s="11" t="str">
        <f t="shared" si="0"/>
        <v>-</v>
      </c>
      <c r="C21" s="11" t="str">
        <f t="shared" si="1"/>
        <v>-</v>
      </c>
      <c r="D21" s="11">
        <f t="shared" si="2"/>
        <v>2.7332364218533634E-3</v>
      </c>
      <c r="E21" s="11">
        <f t="shared" si="3"/>
        <v>7.1881555858198344E-3</v>
      </c>
      <c r="F21" s="11">
        <f t="shared" si="4"/>
        <v>9.9213920076731982E-3</v>
      </c>
      <c r="G21" s="11" t="str">
        <f t="shared" si="5"/>
        <v>-</v>
      </c>
      <c r="H21" s="11" t="str">
        <f t="shared" si="6"/>
        <v>-</v>
      </c>
      <c r="I21" s="11">
        <f t="shared" si="7"/>
        <v>2.733236421853363E-3</v>
      </c>
      <c r="J21" s="11">
        <f t="shared" si="8"/>
        <v>7.1881555858198344E-3</v>
      </c>
      <c r="K21" s="11">
        <f t="shared" si="9"/>
        <v>9.9213920076731965E-3</v>
      </c>
      <c r="L21" s="13"/>
      <c r="M21" s="13"/>
      <c r="N21" s="13">
        <v>93987</v>
      </c>
      <c r="O21" s="13">
        <v>247177</v>
      </c>
      <c r="P21" s="13">
        <f t="shared" si="10"/>
        <v>341164</v>
      </c>
      <c r="Q21" s="14" t="str">
        <f t="shared" si="11"/>
        <v>0</v>
      </c>
      <c r="R21" s="14" t="str">
        <f t="shared" si="11"/>
        <v>0</v>
      </c>
      <c r="S21" s="14">
        <f t="shared" si="11"/>
        <v>145.27560483870965</v>
      </c>
      <c r="T21" s="14">
        <f t="shared" si="11"/>
        <v>382.06122311827954</v>
      </c>
      <c r="U21" s="14">
        <f t="shared" si="12"/>
        <v>527.33682795698917</v>
      </c>
    </row>
    <row r="22" spans="1:23" x14ac:dyDescent="0.25">
      <c r="A22" s="30" t="s">
        <v>30</v>
      </c>
      <c r="B22" s="11" t="str">
        <f t="shared" si="0"/>
        <v>-</v>
      </c>
      <c r="C22" s="11" t="str">
        <f t="shared" si="1"/>
        <v>-</v>
      </c>
      <c r="D22" s="11">
        <f t="shared" si="2"/>
        <v>5.9459022929994436E-4</v>
      </c>
      <c r="E22" s="11">
        <f t="shared" si="3"/>
        <v>4.4291824744951587E-3</v>
      </c>
      <c r="F22" s="11">
        <f t="shared" si="4"/>
        <v>5.0237727037951031E-3</v>
      </c>
      <c r="G22" s="11" t="str">
        <f t="shared" si="5"/>
        <v>-</v>
      </c>
      <c r="H22" s="11" t="str">
        <f t="shared" si="6"/>
        <v>-</v>
      </c>
      <c r="I22" s="11">
        <f t="shared" si="7"/>
        <v>5.9459022929994425E-4</v>
      </c>
      <c r="J22" s="11">
        <f t="shared" si="8"/>
        <v>4.4291824744951587E-3</v>
      </c>
      <c r="K22" s="11">
        <f t="shared" si="9"/>
        <v>5.0237727037951039E-3</v>
      </c>
      <c r="L22" s="13"/>
      <c r="M22" s="13"/>
      <c r="N22" s="13">
        <v>20446</v>
      </c>
      <c r="O22" s="13">
        <v>152305</v>
      </c>
      <c r="P22" s="13">
        <f t="shared" si="10"/>
        <v>172751</v>
      </c>
      <c r="Q22" s="14" t="str">
        <f t="shared" si="11"/>
        <v>0</v>
      </c>
      <c r="R22" s="14" t="str">
        <f t="shared" si="11"/>
        <v>0</v>
      </c>
      <c r="S22" s="14">
        <f t="shared" si="11"/>
        <v>31.603360215053762</v>
      </c>
      <c r="T22" s="14">
        <f t="shared" si="11"/>
        <v>235.41767473118279</v>
      </c>
      <c r="U22" s="14">
        <f t="shared" si="12"/>
        <v>267.02103494623657</v>
      </c>
    </row>
    <row r="23" spans="1:23" x14ac:dyDescent="0.25">
      <c r="A23" s="30" t="s">
        <v>50</v>
      </c>
      <c r="B23" s="11" t="str">
        <f t="shared" si="0"/>
        <v>-</v>
      </c>
      <c r="C23" s="11" t="str">
        <f t="shared" si="1"/>
        <v>-</v>
      </c>
      <c r="D23" s="11">
        <f t="shared" si="2"/>
        <v>8.3982452870523493E-3</v>
      </c>
      <c r="E23" s="11">
        <f t="shared" si="3"/>
        <v>1.9674172348052984E-3</v>
      </c>
      <c r="F23" s="11">
        <f t="shared" si="4"/>
        <v>1.0365662521857647E-2</v>
      </c>
      <c r="G23" s="11" t="str">
        <f t="shared" si="5"/>
        <v>-</v>
      </c>
      <c r="H23" s="11" t="str">
        <f t="shared" si="6"/>
        <v>-</v>
      </c>
      <c r="I23" s="11">
        <f t="shared" si="7"/>
        <v>8.3982452870523475E-3</v>
      </c>
      <c r="J23" s="11">
        <f t="shared" si="8"/>
        <v>1.9674172348052984E-3</v>
      </c>
      <c r="K23" s="11">
        <f t="shared" si="9"/>
        <v>1.0365662521857645E-2</v>
      </c>
      <c r="L23" s="13"/>
      <c r="M23" s="13"/>
      <c r="N23" s="13">
        <v>288788</v>
      </c>
      <c r="O23" s="13">
        <v>67653</v>
      </c>
      <c r="P23" s="13">
        <f t="shared" si="10"/>
        <v>356441</v>
      </c>
      <c r="Q23" s="14" t="str">
        <f t="shared" si="11"/>
        <v>0</v>
      </c>
      <c r="R23" s="14" t="str">
        <f t="shared" si="11"/>
        <v>0</v>
      </c>
      <c r="S23" s="14">
        <f t="shared" si="11"/>
        <v>446.37930107526876</v>
      </c>
      <c r="T23" s="14">
        <f t="shared" si="11"/>
        <v>104.5711693548387</v>
      </c>
      <c r="U23" s="14">
        <f t="shared" si="12"/>
        <v>550.95047043010743</v>
      </c>
    </row>
    <row r="24" spans="1:23" x14ac:dyDescent="0.25">
      <c r="A24" s="30" t="s">
        <v>17</v>
      </c>
      <c r="B24" s="11" t="str">
        <f t="shared" si="0"/>
        <v>-</v>
      </c>
      <c r="C24" s="11" t="str">
        <f t="shared" si="1"/>
        <v>-</v>
      </c>
      <c r="D24" s="11">
        <f t="shared" si="2"/>
        <v>1.0558527747364701E-2</v>
      </c>
      <c r="E24" s="11">
        <f t="shared" si="3"/>
        <v>1.9852729719074293E-2</v>
      </c>
      <c r="F24" s="11">
        <f t="shared" si="4"/>
        <v>3.0411257466438992E-2</v>
      </c>
      <c r="G24" s="11" t="str">
        <f t="shared" si="5"/>
        <v>-</v>
      </c>
      <c r="H24" s="11" t="str">
        <f t="shared" si="6"/>
        <v>-</v>
      </c>
      <c r="I24" s="11">
        <f t="shared" si="7"/>
        <v>1.0558527747364699E-2</v>
      </c>
      <c r="J24" s="11">
        <f t="shared" si="8"/>
        <v>1.9852729719074289E-2</v>
      </c>
      <c r="K24" s="11">
        <f t="shared" si="9"/>
        <v>3.0411257466438992E-2</v>
      </c>
      <c r="L24" s="13"/>
      <c r="M24" s="13"/>
      <c r="N24" s="13">
        <v>363073</v>
      </c>
      <c r="O24" s="13">
        <v>682670</v>
      </c>
      <c r="P24" s="13">
        <f t="shared" si="10"/>
        <v>1045743</v>
      </c>
      <c r="Q24" s="14" t="str">
        <f t="shared" si="11"/>
        <v>0</v>
      </c>
      <c r="R24" s="14" t="str">
        <f t="shared" si="11"/>
        <v>0</v>
      </c>
      <c r="S24" s="14">
        <f t="shared" si="11"/>
        <v>561.20154569892463</v>
      </c>
      <c r="T24" s="14">
        <f t="shared" si="11"/>
        <v>1055.2022849462364</v>
      </c>
      <c r="U24" s="14">
        <f t="shared" si="12"/>
        <v>1616.4038306451612</v>
      </c>
    </row>
    <row r="25" spans="1:23" x14ac:dyDescent="0.25">
      <c r="A25" s="30" t="s">
        <v>18</v>
      </c>
      <c r="B25" s="11" t="str">
        <f t="shared" si="0"/>
        <v>-</v>
      </c>
      <c r="C25" s="11" t="str">
        <f t="shared" si="1"/>
        <v>-</v>
      </c>
      <c r="D25" s="11">
        <f t="shared" si="2"/>
        <v>3.9764930093480602E-2</v>
      </c>
      <c r="E25" s="11">
        <f t="shared" si="3"/>
        <v>3.6462636564763237E-3</v>
      </c>
      <c r="F25" s="11">
        <f t="shared" si="4"/>
        <v>4.3411193749956924E-2</v>
      </c>
      <c r="G25" s="11" t="str">
        <f t="shared" si="5"/>
        <v>-</v>
      </c>
      <c r="H25" s="11" t="str">
        <f t="shared" si="6"/>
        <v>-</v>
      </c>
      <c r="I25" s="11">
        <f t="shared" si="7"/>
        <v>3.9764930093480602E-2</v>
      </c>
      <c r="J25" s="11">
        <f t="shared" si="8"/>
        <v>3.6462636564763237E-3</v>
      </c>
      <c r="K25" s="11">
        <f t="shared" si="9"/>
        <v>4.3411193749956917E-2</v>
      </c>
      <c r="L25" s="13"/>
      <c r="M25" s="13"/>
      <c r="N25" s="13">
        <v>1367385</v>
      </c>
      <c r="O25" s="13">
        <v>125383</v>
      </c>
      <c r="P25" s="13">
        <f t="shared" si="10"/>
        <v>1492768</v>
      </c>
      <c r="Q25" s="14" t="str">
        <f t="shared" si="11"/>
        <v>0</v>
      </c>
      <c r="R25" s="14" t="str">
        <f t="shared" si="11"/>
        <v>0</v>
      </c>
      <c r="S25" s="14">
        <f t="shared" si="11"/>
        <v>2113.5655241935483</v>
      </c>
      <c r="T25" s="14">
        <f t="shared" si="11"/>
        <v>193.80436827956987</v>
      </c>
      <c r="U25" s="14">
        <f t="shared" si="12"/>
        <v>2307.3698924731179</v>
      </c>
      <c r="W25" s="31"/>
    </row>
    <row r="26" spans="1:23" x14ac:dyDescent="0.25">
      <c r="A26" s="30" t="s">
        <v>19</v>
      </c>
      <c r="B26" s="11" t="str">
        <f t="shared" si="0"/>
        <v>-</v>
      </c>
      <c r="C26" s="11" t="str">
        <f t="shared" si="1"/>
        <v>-</v>
      </c>
      <c r="D26" s="11">
        <f t="shared" si="2"/>
        <v>2.5568019642008754E-3</v>
      </c>
      <c r="E26" s="11">
        <f t="shared" si="3"/>
        <v>1.9099822498269462E-3</v>
      </c>
      <c r="F26" s="11">
        <f t="shared" si="4"/>
        <v>4.4667842140278221E-3</v>
      </c>
      <c r="G26" s="11" t="str">
        <f t="shared" si="5"/>
        <v>-</v>
      </c>
      <c r="H26" s="11" t="str">
        <f t="shared" si="6"/>
        <v>-</v>
      </c>
      <c r="I26" s="11">
        <f t="shared" si="7"/>
        <v>2.5568019642008754E-3</v>
      </c>
      <c r="J26" s="11">
        <f t="shared" si="8"/>
        <v>1.9099822498269462E-3</v>
      </c>
      <c r="K26" s="11">
        <f t="shared" si="9"/>
        <v>4.4667842140278212E-3</v>
      </c>
      <c r="L26" s="13"/>
      <c r="M26" s="13"/>
      <c r="N26" s="13">
        <v>87920</v>
      </c>
      <c r="O26" s="13">
        <v>65678</v>
      </c>
      <c r="P26" s="13">
        <f t="shared" si="10"/>
        <v>153598</v>
      </c>
      <c r="Q26" s="14" t="str">
        <f t="shared" si="11"/>
        <v>0</v>
      </c>
      <c r="R26" s="14" t="str">
        <f t="shared" si="11"/>
        <v>0</v>
      </c>
      <c r="S26" s="14">
        <f t="shared" si="11"/>
        <v>135.89784946236557</v>
      </c>
      <c r="T26" s="14">
        <f t="shared" si="11"/>
        <v>101.51841397849462</v>
      </c>
      <c r="U26" s="14">
        <f t="shared" si="12"/>
        <v>237.41626344086018</v>
      </c>
    </row>
    <row r="27" spans="1:23" x14ac:dyDescent="0.25">
      <c r="A27" s="30" t="s">
        <v>20</v>
      </c>
      <c r="B27" s="11" t="str">
        <f t="shared" si="0"/>
        <v>-</v>
      </c>
      <c r="C27" s="11" t="str">
        <f t="shared" si="1"/>
        <v>-</v>
      </c>
      <c r="D27" s="11">
        <f t="shared" si="2"/>
        <v>5.2345518284143931E-3</v>
      </c>
      <c r="E27" s="11" t="str">
        <f t="shared" si="3"/>
        <v>-</v>
      </c>
      <c r="F27" s="11">
        <f t="shared" si="4"/>
        <v>5.2345518284143931E-3</v>
      </c>
      <c r="G27" s="11" t="str">
        <f t="shared" si="5"/>
        <v>-</v>
      </c>
      <c r="H27" s="11" t="str">
        <f t="shared" si="6"/>
        <v>-</v>
      </c>
      <c r="I27" s="11">
        <f t="shared" si="7"/>
        <v>5.2345518284143931E-3</v>
      </c>
      <c r="J27" s="11" t="str">
        <f t="shared" si="8"/>
        <v>-</v>
      </c>
      <c r="K27" s="11">
        <f t="shared" si="9"/>
        <v>5.2345518284143931E-3</v>
      </c>
      <c r="L27" s="13"/>
      <c r="M27" s="13"/>
      <c r="N27" s="13">
        <v>179999</v>
      </c>
      <c r="O27" s="13"/>
      <c r="P27" s="13">
        <f t="shared" si="10"/>
        <v>179999</v>
      </c>
      <c r="Q27" s="14" t="str">
        <f t="shared" si="11"/>
        <v>0</v>
      </c>
      <c r="R27" s="14" t="str">
        <f t="shared" si="11"/>
        <v>0</v>
      </c>
      <c r="S27" s="14">
        <f t="shared" si="11"/>
        <v>278.22426075268817</v>
      </c>
      <c r="T27" s="14" t="str">
        <f t="shared" si="11"/>
        <v>0</v>
      </c>
      <c r="U27" s="14">
        <f t="shared" si="12"/>
        <v>278.22426075268817</v>
      </c>
    </row>
    <row r="28" spans="1:23" x14ac:dyDescent="0.25">
      <c r="A28" s="30" t="s">
        <v>21</v>
      </c>
      <c r="B28" s="11">
        <f t="shared" si="0"/>
        <v>2.2928743947479471E-2</v>
      </c>
      <c r="C28" s="11" t="str">
        <f t="shared" si="1"/>
        <v>-</v>
      </c>
      <c r="D28" s="11">
        <f t="shared" si="2"/>
        <v>5.0051346876570646E-2</v>
      </c>
      <c r="E28" s="11">
        <f t="shared" si="3"/>
        <v>1.4636208113792345E-2</v>
      </c>
      <c r="F28" s="11">
        <f t="shared" si="4"/>
        <v>8.7616298937842466E-2</v>
      </c>
      <c r="G28" s="11">
        <f t="shared" si="5"/>
        <v>2.2928743947479471E-2</v>
      </c>
      <c r="H28" s="11" t="str">
        <f t="shared" si="6"/>
        <v>-</v>
      </c>
      <c r="I28" s="11">
        <f t="shared" si="7"/>
        <v>5.0051346876570639E-2</v>
      </c>
      <c r="J28" s="11">
        <f t="shared" si="8"/>
        <v>1.4636208113792345E-2</v>
      </c>
      <c r="K28" s="11">
        <f t="shared" si="9"/>
        <v>8.7616298937842452E-2</v>
      </c>
      <c r="L28" s="13">
        <v>788444</v>
      </c>
      <c r="M28" s="13"/>
      <c r="N28" s="13">
        <v>1721101</v>
      </c>
      <c r="O28" s="13">
        <v>503291</v>
      </c>
      <c r="P28" s="13">
        <f t="shared" si="10"/>
        <v>3012836</v>
      </c>
      <c r="Q28" s="14">
        <f t="shared" si="11"/>
        <v>1218.6970430107526</v>
      </c>
      <c r="R28" s="14" t="str">
        <f t="shared" si="11"/>
        <v>0</v>
      </c>
      <c r="S28" s="14">
        <f t="shared" si="11"/>
        <v>2660.303965053763</v>
      </c>
      <c r="T28" s="14">
        <f t="shared" si="11"/>
        <v>777.93635752688169</v>
      </c>
      <c r="U28" s="14">
        <f t="shared" si="12"/>
        <v>4656.9373655913969</v>
      </c>
    </row>
    <row r="29" spans="1:23" x14ac:dyDescent="0.25">
      <c r="A29" s="30" t="s">
        <v>22</v>
      </c>
      <c r="B29" s="11" t="str">
        <f t="shared" si="0"/>
        <v>-</v>
      </c>
      <c r="C29" s="11" t="str">
        <f t="shared" si="1"/>
        <v>-</v>
      </c>
      <c r="D29" s="11">
        <f t="shared" si="2"/>
        <v>1.6852471508830433E-2</v>
      </c>
      <c r="E29" s="11">
        <f t="shared" si="3"/>
        <v>2.3491577719262271E-2</v>
      </c>
      <c r="F29" s="11">
        <f t="shared" si="4"/>
        <v>4.0344049228092704E-2</v>
      </c>
      <c r="G29" s="11" t="str">
        <f t="shared" si="5"/>
        <v>-</v>
      </c>
      <c r="H29" s="11" t="str">
        <f t="shared" si="6"/>
        <v>-</v>
      </c>
      <c r="I29" s="11">
        <f t="shared" si="7"/>
        <v>1.685247150883043E-2</v>
      </c>
      <c r="J29" s="11">
        <f t="shared" si="8"/>
        <v>2.3491577719262271E-2</v>
      </c>
      <c r="K29" s="11">
        <f t="shared" si="9"/>
        <v>4.0344049228092704E-2</v>
      </c>
      <c r="L29" s="13"/>
      <c r="M29" s="13"/>
      <c r="N29" s="13">
        <v>579501</v>
      </c>
      <c r="O29" s="13">
        <v>807798</v>
      </c>
      <c r="P29" s="13">
        <f t="shared" si="10"/>
        <v>1387299</v>
      </c>
      <c r="Q29" s="14" t="str">
        <f t="shared" si="11"/>
        <v>0</v>
      </c>
      <c r="R29" s="14" t="str">
        <f t="shared" si="11"/>
        <v>0</v>
      </c>
      <c r="S29" s="14">
        <f t="shared" si="11"/>
        <v>895.73407258064503</v>
      </c>
      <c r="T29" s="14">
        <f t="shared" si="11"/>
        <v>1248.6125</v>
      </c>
      <c r="U29" s="14">
        <f t="shared" si="12"/>
        <v>2144.346572580645</v>
      </c>
    </row>
    <row r="30" spans="1:23" x14ac:dyDescent="0.25">
      <c r="A30" s="30" t="s">
        <v>23</v>
      </c>
      <c r="B30" s="11" t="str">
        <f t="shared" si="0"/>
        <v>-</v>
      </c>
      <c r="C30" s="11" t="str">
        <f t="shared" si="1"/>
        <v>-</v>
      </c>
      <c r="D30" s="11">
        <f t="shared" si="2"/>
        <v>4.4973774313428731E-4</v>
      </c>
      <c r="E30" s="11">
        <f t="shared" si="3"/>
        <v>2.1651680691611441E-3</v>
      </c>
      <c r="F30" s="11">
        <f t="shared" si="4"/>
        <v>2.6149058122954313E-3</v>
      </c>
      <c r="G30" s="11" t="str">
        <f t="shared" si="5"/>
        <v>-</v>
      </c>
      <c r="H30" s="11" t="str">
        <f t="shared" si="6"/>
        <v>-</v>
      </c>
      <c r="I30" s="11">
        <f t="shared" si="7"/>
        <v>4.4973774313428731E-4</v>
      </c>
      <c r="J30" s="11">
        <f t="shared" si="8"/>
        <v>2.1651680691611441E-3</v>
      </c>
      <c r="K30" s="11">
        <f t="shared" si="9"/>
        <v>2.6149058122954313E-3</v>
      </c>
      <c r="L30" s="13"/>
      <c r="M30" s="13"/>
      <c r="N30" s="13">
        <v>15465</v>
      </c>
      <c r="O30" s="13">
        <v>74453</v>
      </c>
      <c r="P30" s="13">
        <f t="shared" si="10"/>
        <v>89918</v>
      </c>
      <c r="Q30" s="14" t="str">
        <f t="shared" si="11"/>
        <v>0</v>
      </c>
      <c r="R30" s="14" t="str">
        <f t="shared" si="11"/>
        <v>0</v>
      </c>
      <c r="S30" s="14">
        <f t="shared" si="11"/>
        <v>23.90423387096774</v>
      </c>
      <c r="T30" s="14">
        <f t="shared" si="11"/>
        <v>115.08192204301075</v>
      </c>
      <c r="U30" s="14">
        <f t="shared" si="12"/>
        <v>138.98615591397848</v>
      </c>
    </row>
    <row r="31" spans="1:23" x14ac:dyDescent="0.25">
      <c r="A31" s="30" t="s">
        <v>24</v>
      </c>
      <c r="B31" s="11">
        <f t="shared" si="0"/>
        <v>9.8301358138189847E-3</v>
      </c>
      <c r="C31" s="11" t="str">
        <f t="shared" si="1"/>
        <v>-</v>
      </c>
      <c r="D31" s="11">
        <f t="shared" si="2"/>
        <v>2.0901623409301739E-2</v>
      </c>
      <c r="E31" s="11">
        <f t="shared" si="3"/>
        <v>3.8655635155759463E-3</v>
      </c>
      <c r="F31" s="11">
        <f t="shared" si="4"/>
        <v>3.4597322738696673E-2</v>
      </c>
      <c r="G31" s="11">
        <f t="shared" si="5"/>
        <v>9.8301358138189847E-3</v>
      </c>
      <c r="H31" s="11" t="str">
        <f t="shared" si="6"/>
        <v>-</v>
      </c>
      <c r="I31" s="11">
        <f t="shared" si="7"/>
        <v>2.0901623409301736E-2</v>
      </c>
      <c r="J31" s="11">
        <f t="shared" si="8"/>
        <v>3.8655635155759459E-3</v>
      </c>
      <c r="K31" s="11">
        <f t="shared" si="9"/>
        <v>3.4597322738696666E-2</v>
      </c>
      <c r="L31" s="13">
        <v>338026</v>
      </c>
      <c r="M31" s="13"/>
      <c r="N31" s="13">
        <v>718738</v>
      </c>
      <c r="O31" s="13">
        <v>132924</v>
      </c>
      <c r="P31" s="13">
        <f t="shared" si="10"/>
        <v>1189688</v>
      </c>
      <c r="Q31" s="14">
        <f t="shared" si="11"/>
        <v>522.48642473118275</v>
      </c>
      <c r="R31" s="14" t="str">
        <f t="shared" si="11"/>
        <v>0</v>
      </c>
      <c r="S31" s="14">
        <f t="shared" si="11"/>
        <v>1110.9525537634406</v>
      </c>
      <c r="T31" s="14">
        <f t="shared" si="11"/>
        <v>205.46048387096772</v>
      </c>
      <c r="U31" s="14">
        <f t="shared" si="12"/>
        <v>1838.899462365591</v>
      </c>
    </row>
    <row r="32" spans="1:23" x14ac:dyDescent="0.25">
      <c r="A32" s="30" t="s">
        <v>56</v>
      </c>
      <c r="B32" s="11">
        <f t="shared" si="0"/>
        <v>6.833221919156144E-3</v>
      </c>
      <c r="C32" s="11" t="str">
        <f t="shared" si="1"/>
        <v>-</v>
      </c>
      <c r="D32" s="11">
        <f t="shared" si="2"/>
        <v>4.4779600442694321E-2</v>
      </c>
      <c r="E32" s="11">
        <f t="shared" si="3"/>
        <v>2.3165928624686279E-3</v>
      </c>
      <c r="F32" s="11">
        <f t="shared" si="4"/>
        <v>5.3929415224319092E-2</v>
      </c>
      <c r="G32" s="11">
        <f t="shared" si="5"/>
        <v>6.8332219191561431E-3</v>
      </c>
      <c r="H32" s="11" t="str">
        <f t="shared" si="6"/>
        <v>-</v>
      </c>
      <c r="I32" s="11">
        <f t="shared" si="7"/>
        <v>4.4779600442694328E-2</v>
      </c>
      <c r="J32" s="11">
        <f t="shared" si="8"/>
        <v>2.3165928624686275E-3</v>
      </c>
      <c r="K32" s="11">
        <f t="shared" si="9"/>
        <v>5.3929415224319099E-2</v>
      </c>
      <c r="L32" s="13">
        <v>234972</v>
      </c>
      <c r="M32" s="13"/>
      <c r="N32" s="13">
        <v>1539823</v>
      </c>
      <c r="O32" s="13">
        <v>79660</v>
      </c>
      <c r="P32" s="13">
        <f t="shared" si="10"/>
        <v>1854455</v>
      </c>
      <c r="Q32" s="14">
        <f t="shared" si="11"/>
        <v>363.19596774193542</v>
      </c>
      <c r="R32" s="14" t="str">
        <f t="shared" si="11"/>
        <v>0</v>
      </c>
      <c r="S32" s="14">
        <f t="shared" si="11"/>
        <v>2380.1027553763442</v>
      </c>
      <c r="T32" s="14">
        <f t="shared" si="11"/>
        <v>123.130376344086</v>
      </c>
      <c r="U32" s="14">
        <f t="shared" si="12"/>
        <v>2866.4290994623657</v>
      </c>
    </row>
    <row r="33" spans="1:21" x14ac:dyDescent="0.25">
      <c r="A33" s="30" t="s">
        <v>25</v>
      </c>
      <c r="B33" s="11" t="str">
        <f t="shared" si="0"/>
        <v>-</v>
      </c>
      <c r="C33" s="11" t="str">
        <f t="shared" si="1"/>
        <v>-</v>
      </c>
      <c r="D33" s="11">
        <f t="shared" si="2"/>
        <v>4.5249171431274299E-3</v>
      </c>
      <c r="E33" s="11">
        <f t="shared" si="3"/>
        <v>6.3228211994826953E-3</v>
      </c>
      <c r="F33" s="11">
        <f t="shared" si="4"/>
        <v>1.0847738342610125E-2</v>
      </c>
      <c r="G33" s="11" t="str">
        <f t="shared" si="5"/>
        <v>-</v>
      </c>
      <c r="H33" s="11" t="str">
        <f t="shared" si="6"/>
        <v>-</v>
      </c>
      <c r="I33" s="11">
        <f t="shared" si="7"/>
        <v>4.5249171431274299E-3</v>
      </c>
      <c r="J33" s="11">
        <f t="shared" si="8"/>
        <v>6.3228211994826953E-3</v>
      </c>
      <c r="K33" s="11">
        <f t="shared" si="9"/>
        <v>1.0847738342610123E-2</v>
      </c>
      <c r="L33" s="13"/>
      <c r="M33" s="13"/>
      <c r="N33" s="13">
        <v>155597</v>
      </c>
      <c r="O33" s="13">
        <v>217421</v>
      </c>
      <c r="P33" s="13">
        <f t="shared" si="10"/>
        <v>373018</v>
      </c>
      <c r="Q33" s="14" t="str">
        <f t="shared" si="11"/>
        <v>0</v>
      </c>
      <c r="R33" s="14" t="str">
        <f t="shared" si="11"/>
        <v>0</v>
      </c>
      <c r="S33" s="14">
        <f t="shared" si="11"/>
        <v>240.50611559139782</v>
      </c>
      <c r="T33" s="14">
        <f t="shared" si="11"/>
        <v>336.06740591397846</v>
      </c>
      <c r="U33" s="14">
        <f t="shared" si="12"/>
        <v>576.57352150537622</v>
      </c>
    </row>
    <row r="34" spans="1:21" x14ac:dyDescent="0.25">
      <c r="A34" s="30" t="s">
        <v>31</v>
      </c>
      <c r="B34" s="11">
        <f t="shared" si="0"/>
        <v>2.0925760643495175E-2</v>
      </c>
      <c r="C34" s="11" t="str">
        <f t="shared" si="1"/>
        <v>-</v>
      </c>
      <c r="D34" s="11">
        <f t="shared" si="2"/>
        <v>1.6235837877700821E-2</v>
      </c>
      <c r="E34" s="11">
        <f t="shared" si="3"/>
        <v>1.8219540475335426E-3</v>
      </c>
      <c r="F34" s="11">
        <f t="shared" si="4"/>
        <v>3.898355256872954E-2</v>
      </c>
      <c r="G34" s="11">
        <f t="shared" si="5"/>
        <v>2.0925760643495172E-2</v>
      </c>
      <c r="H34" s="11" t="str">
        <f t="shared" si="6"/>
        <v>-</v>
      </c>
      <c r="I34" s="11">
        <f t="shared" si="7"/>
        <v>1.6235837877700821E-2</v>
      </c>
      <c r="J34" s="11">
        <f t="shared" si="8"/>
        <v>1.8219540475335424E-3</v>
      </c>
      <c r="K34" s="11">
        <f t="shared" si="9"/>
        <v>3.898355256872954E-2</v>
      </c>
      <c r="L34" s="13">
        <f>164448+555120</f>
        <v>719568</v>
      </c>
      <c r="M34" s="13"/>
      <c r="N34" s="13">
        <v>558297</v>
      </c>
      <c r="O34" s="13">
        <v>62651</v>
      </c>
      <c r="P34" s="13">
        <f t="shared" si="10"/>
        <v>1340516</v>
      </c>
      <c r="Q34" s="14">
        <f t="shared" si="11"/>
        <v>1112.2354838709675</v>
      </c>
      <c r="R34" s="14" t="str">
        <f t="shared" si="11"/>
        <v>0</v>
      </c>
      <c r="S34" s="14">
        <f t="shared" si="11"/>
        <v>862.95907258064506</v>
      </c>
      <c r="T34" s="14">
        <f t="shared" si="11"/>
        <v>96.839583333333323</v>
      </c>
      <c r="U34" s="14">
        <f t="shared" si="12"/>
        <v>2072.0341397849461</v>
      </c>
    </row>
    <row r="35" spans="1:21" x14ac:dyDescent="0.25">
      <c r="A35" s="30" t="s">
        <v>26</v>
      </c>
      <c r="B35" s="11" t="str">
        <f t="shared" si="0"/>
        <v>-</v>
      </c>
      <c r="C35" s="11" t="str">
        <f t="shared" si="1"/>
        <v>-</v>
      </c>
      <c r="D35" s="11">
        <f t="shared" si="2"/>
        <v>2.509655838810038E-2</v>
      </c>
      <c r="E35" s="11">
        <f t="shared" si="3"/>
        <v>1.1934815392471283E-2</v>
      </c>
      <c r="F35" s="11">
        <f t="shared" si="4"/>
        <v>3.7031373780571662E-2</v>
      </c>
      <c r="G35" s="11" t="str">
        <f t="shared" si="5"/>
        <v>-</v>
      </c>
      <c r="H35" s="11" t="str">
        <f t="shared" si="6"/>
        <v>-</v>
      </c>
      <c r="I35" s="11">
        <f t="shared" si="7"/>
        <v>2.509655838810038E-2</v>
      </c>
      <c r="J35" s="11">
        <f t="shared" si="8"/>
        <v>1.1934815392471283E-2</v>
      </c>
      <c r="K35" s="11">
        <f t="shared" si="9"/>
        <v>3.7031373780571662E-2</v>
      </c>
      <c r="L35" s="13"/>
      <c r="M35" s="13"/>
      <c r="N35" s="13">
        <v>862988</v>
      </c>
      <c r="O35" s="13">
        <v>410399</v>
      </c>
      <c r="P35" s="13">
        <f t="shared" si="10"/>
        <v>1273387</v>
      </c>
      <c r="Q35" s="14" t="str">
        <f t="shared" si="11"/>
        <v>0</v>
      </c>
      <c r="R35" s="14" t="str">
        <f t="shared" si="11"/>
        <v>0</v>
      </c>
      <c r="S35" s="14">
        <f t="shared" si="11"/>
        <v>1333.9196236559139</v>
      </c>
      <c r="T35" s="14">
        <f t="shared" si="11"/>
        <v>634.35329301075262</v>
      </c>
      <c r="U35" s="14">
        <f t="shared" si="12"/>
        <v>1968.2729166666666</v>
      </c>
    </row>
    <row r="36" spans="1:21" x14ac:dyDescent="0.25">
      <c r="A36" s="30" t="s">
        <v>55</v>
      </c>
      <c r="B36" s="11" t="str">
        <f t="shared" si="0"/>
        <v>-</v>
      </c>
      <c r="C36" s="11" t="str">
        <f t="shared" si="1"/>
        <v>-</v>
      </c>
      <c r="D36" s="11">
        <f t="shared" si="2"/>
        <v>8.8755227419711922E-4</v>
      </c>
      <c r="E36" s="11">
        <f t="shared" si="3"/>
        <v>2.3037972202456024E-4</v>
      </c>
      <c r="F36" s="11">
        <f t="shared" si="4"/>
        <v>1.1179319962216795E-3</v>
      </c>
      <c r="G36" s="11" t="str">
        <f t="shared" si="5"/>
        <v>-</v>
      </c>
      <c r="H36" s="11" t="str">
        <f t="shared" si="6"/>
        <v>-</v>
      </c>
      <c r="I36" s="11">
        <f t="shared" si="7"/>
        <v>8.8755227419711922E-4</v>
      </c>
      <c r="J36" s="11">
        <f t="shared" si="8"/>
        <v>2.3037972202456024E-4</v>
      </c>
      <c r="K36" s="11">
        <f t="shared" si="9"/>
        <v>1.1179319962216795E-3</v>
      </c>
      <c r="L36" s="13"/>
      <c r="M36" s="13"/>
      <c r="N36" s="13">
        <v>30520</v>
      </c>
      <c r="O36" s="13">
        <v>7922</v>
      </c>
      <c r="P36" s="13">
        <f t="shared" si="10"/>
        <v>38442</v>
      </c>
      <c r="Q36" s="14" t="str">
        <f t="shared" si="11"/>
        <v>0</v>
      </c>
      <c r="R36" s="14" t="str">
        <f t="shared" si="11"/>
        <v>0</v>
      </c>
      <c r="S36" s="14">
        <f t="shared" si="11"/>
        <v>47.174731182795696</v>
      </c>
      <c r="T36" s="14">
        <f t="shared" si="11"/>
        <v>12.245026881720429</v>
      </c>
      <c r="U36" s="14">
        <f t="shared" si="12"/>
        <v>59.419758064516124</v>
      </c>
    </row>
    <row r="37" spans="1:21" x14ac:dyDescent="0.25">
      <c r="A37" s="30" t="s">
        <v>27</v>
      </c>
      <c r="B37" s="11" t="str">
        <f t="shared" si="0"/>
        <v>-</v>
      </c>
      <c r="C37" s="11" t="str">
        <f t="shared" si="1"/>
        <v>-</v>
      </c>
      <c r="D37" s="11">
        <f t="shared" si="2"/>
        <v>1.5490869771275278E-3</v>
      </c>
      <c r="E37" s="11">
        <f t="shared" si="3"/>
        <v>5.7757202514332065E-3</v>
      </c>
      <c r="F37" s="11">
        <f t="shared" si="4"/>
        <v>7.3248072285607346E-3</v>
      </c>
      <c r="G37" s="11" t="str">
        <f t="shared" si="5"/>
        <v>-</v>
      </c>
      <c r="H37" s="11" t="str">
        <f t="shared" si="6"/>
        <v>-</v>
      </c>
      <c r="I37" s="11">
        <f t="shared" si="7"/>
        <v>1.5490869771275276E-3</v>
      </c>
      <c r="J37" s="11">
        <f t="shared" si="8"/>
        <v>5.7757202514332057E-3</v>
      </c>
      <c r="K37" s="11">
        <f t="shared" si="9"/>
        <v>7.3248072285607329E-3</v>
      </c>
      <c r="L37" s="13"/>
      <c r="M37" s="13"/>
      <c r="N37" s="13">
        <v>53268</v>
      </c>
      <c r="O37" s="13">
        <v>198608</v>
      </c>
      <c r="P37" s="13">
        <f t="shared" si="10"/>
        <v>251876</v>
      </c>
      <c r="Q37" s="14" t="str">
        <f t="shared" si="11"/>
        <v>0</v>
      </c>
      <c r="R37" s="14" t="str">
        <f t="shared" si="11"/>
        <v>0</v>
      </c>
      <c r="S37" s="14">
        <f t="shared" si="11"/>
        <v>82.336290322580638</v>
      </c>
      <c r="T37" s="14">
        <f t="shared" si="11"/>
        <v>306.98817204301071</v>
      </c>
      <c r="U37" s="14">
        <f t="shared" si="12"/>
        <v>389.32446236559133</v>
      </c>
    </row>
    <row r="38" spans="1:21" x14ac:dyDescent="0.25">
      <c r="A38" s="30" t="s">
        <v>32</v>
      </c>
      <c r="B38" s="11" t="str">
        <f t="shared" si="0"/>
        <v>-</v>
      </c>
      <c r="C38" s="11" t="str">
        <f t="shared" si="1"/>
        <v>-</v>
      </c>
      <c r="D38" s="11">
        <f t="shared" si="2"/>
        <v>3.5883052134070294E-3</v>
      </c>
      <c r="E38" s="11">
        <f t="shared" si="3"/>
        <v>2.0241542756623946E-3</v>
      </c>
      <c r="F38" s="11">
        <f t="shared" si="4"/>
        <v>5.612459489069424E-3</v>
      </c>
      <c r="G38" s="11" t="str">
        <f t="shared" si="5"/>
        <v>-</v>
      </c>
      <c r="H38" s="11" t="str">
        <f t="shared" si="6"/>
        <v>-</v>
      </c>
      <c r="I38" s="11">
        <f t="shared" si="7"/>
        <v>3.5883052134070299E-3</v>
      </c>
      <c r="J38" s="11">
        <f t="shared" si="8"/>
        <v>2.0241542756623946E-3</v>
      </c>
      <c r="K38" s="11">
        <f t="shared" si="9"/>
        <v>5.6124594890694249E-3</v>
      </c>
      <c r="L38" s="13"/>
      <c r="M38" s="13"/>
      <c r="N38" s="13">
        <v>123390</v>
      </c>
      <c r="O38" s="13">
        <v>69604</v>
      </c>
      <c r="P38" s="13">
        <f t="shared" si="10"/>
        <v>192994</v>
      </c>
      <c r="Q38" s="14" t="str">
        <f t="shared" si="11"/>
        <v>0</v>
      </c>
      <c r="R38" s="14" t="str">
        <f t="shared" si="11"/>
        <v>0</v>
      </c>
      <c r="S38" s="14">
        <f t="shared" si="11"/>
        <v>190.72379032258064</v>
      </c>
      <c r="T38" s="14">
        <f t="shared" si="11"/>
        <v>107.58682795698923</v>
      </c>
      <c r="U38" s="14">
        <f t="shared" si="12"/>
        <v>298.31061827956989</v>
      </c>
    </row>
    <row r="39" spans="1:21" x14ac:dyDescent="0.25">
      <c r="A39" s="30" t="s">
        <v>28</v>
      </c>
      <c r="B39" s="11" t="str">
        <f t="shared" si="0"/>
        <v>-</v>
      </c>
      <c r="C39" s="11" t="str">
        <f t="shared" si="1"/>
        <v>-</v>
      </c>
      <c r="D39" s="11">
        <f t="shared" si="2"/>
        <v>9.3158382394685248E-3</v>
      </c>
      <c r="E39" s="11">
        <f t="shared" si="3"/>
        <v>1.3017384886549329E-2</v>
      </c>
      <c r="F39" s="11">
        <f t="shared" si="4"/>
        <v>2.2333223126017852E-2</v>
      </c>
      <c r="G39" s="11" t="str">
        <f t="shared" si="5"/>
        <v>-</v>
      </c>
      <c r="H39" s="11" t="str">
        <f t="shared" si="6"/>
        <v>-</v>
      </c>
      <c r="I39" s="11">
        <f t="shared" si="7"/>
        <v>9.3158382394685248E-3</v>
      </c>
      <c r="J39" s="11">
        <f t="shared" si="8"/>
        <v>1.3017384886549329E-2</v>
      </c>
      <c r="K39" s="11">
        <f t="shared" si="9"/>
        <v>2.2333223126017855E-2</v>
      </c>
      <c r="L39" s="13"/>
      <c r="M39" s="13"/>
      <c r="N39" s="13">
        <v>320341</v>
      </c>
      <c r="O39" s="13">
        <v>447625</v>
      </c>
      <c r="P39" s="13">
        <f t="shared" si="10"/>
        <v>767966</v>
      </c>
      <c r="Q39" s="14" t="str">
        <f t="shared" si="11"/>
        <v>0</v>
      </c>
      <c r="R39" s="14" t="str">
        <f t="shared" si="11"/>
        <v>0</v>
      </c>
      <c r="S39" s="14">
        <f t="shared" si="11"/>
        <v>495.15073924731178</v>
      </c>
      <c r="T39" s="14">
        <f t="shared" si="11"/>
        <v>691.89348118279565</v>
      </c>
      <c r="U39" s="14">
        <f t="shared" si="12"/>
        <v>1187.0442204301075</v>
      </c>
    </row>
    <row r="40" spans="1:21" x14ac:dyDescent="0.25">
      <c r="A40" s="32" t="s">
        <v>0</v>
      </c>
      <c r="B40" s="11">
        <f t="shared" ref="B40:O40" si="13">SUM(B8:B39)</f>
        <v>0.13445384578406999</v>
      </c>
      <c r="C40" s="11">
        <f t="shared" si="13"/>
        <v>1.6223972827639471E-2</v>
      </c>
      <c r="D40" s="11">
        <f t="shared" si="13"/>
        <v>0.55982699942742409</v>
      </c>
      <c r="E40" s="11">
        <f t="shared" si="13"/>
        <v>0.28949518196086649</v>
      </c>
      <c r="F40" s="11">
        <f t="shared" si="13"/>
        <v>0.99999999999999978</v>
      </c>
      <c r="G40" s="11">
        <f t="shared" si="13"/>
        <v>0.13445384578406999</v>
      </c>
      <c r="H40" s="11">
        <f t="shared" si="13"/>
        <v>1.6223972827639471E-2</v>
      </c>
      <c r="I40" s="11">
        <f t="shared" si="13"/>
        <v>0.55982699942742398</v>
      </c>
      <c r="J40" s="11">
        <f t="shared" si="13"/>
        <v>0.28949518196086649</v>
      </c>
      <c r="K40" s="11">
        <f t="shared" si="13"/>
        <v>0.99999999999999967</v>
      </c>
      <c r="L40" s="13">
        <f t="shared" si="13"/>
        <v>4623425</v>
      </c>
      <c r="M40" s="13">
        <f t="shared" si="13"/>
        <v>557889</v>
      </c>
      <c r="N40" s="13">
        <f t="shared" si="13"/>
        <v>19250607</v>
      </c>
      <c r="O40" s="13">
        <f t="shared" si="13"/>
        <v>9954786</v>
      </c>
      <c r="P40" s="13">
        <f>SUM(L40:O40)</f>
        <v>34386707</v>
      </c>
      <c r="Q40" s="14">
        <f t="shared" si="11"/>
        <v>7146.4230510752686</v>
      </c>
      <c r="R40" s="14">
        <f t="shared" si="11"/>
        <v>862.32842741935485</v>
      </c>
      <c r="S40" s="14">
        <f t="shared" si="11"/>
        <v>29755.64254032258</v>
      </c>
      <c r="T40" s="14">
        <f t="shared" si="11"/>
        <v>15387.102016129031</v>
      </c>
      <c r="U40" s="14">
        <f t="shared" si="12"/>
        <v>53151.496034946234</v>
      </c>
    </row>
    <row r="41" spans="1:21" x14ac:dyDescent="0.25">
      <c r="Q41" s="14" t="str">
        <f t="shared" si="11"/>
        <v>0</v>
      </c>
      <c r="R41" s="14" t="str">
        <f t="shared" si="11"/>
        <v>0</v>
      </c>
      <c r="S41" s="14" t="str">
        <f t="shared" si="11"/>
        <v>0</v>
      </c>
      <c r="T41" s="14" t="str">
        <f t="shared" si="11"/>
        <v>0</v>
      </c>
      <c r="U41" s="14">
        <f t="shared" si="12"/>
        <v>0</v>
      </c>
    </row>
    <row r="42" spans="1:21" x14ac:dyDescent="0.25">
      <c r="A42" s="26" t="s">
        <v>46</v>
      </c>
      <c r="B42" s="2" t="s">
        <v>78</v>
      </c>
      <c r="Q42" s="6"/>
      <c r="R42" s="6"/>
      <c r="S42" s="6"/>
      <c r="T42" s="6"/>
      <c r="U42" s="6"/>
    </row>
    <row r="43" spans="1:21" x14ac:dyDescent="0.25">
      <c r="A43" s="26"/>
      <c r="B43" s="2" t="s">
        <v>79</v>
      </c>
      <c r="Q43" s="6"/>
      <c r="R43" s="6"/>
      <c r="S43" s="6"/>
      <c r="T43" s="6"/>
      <c r="U43" s="6"/>
    </row>
    <row r="44" spans="1:21" x14ac:dyDescent="0.25">
      <c r="B44" s="6" t="s">
        <v>87</v>
      </c>
      <c r="Q44" s="6"/>
      <c r="R44" s="6"/>
      <c r="S44" s="6"/>
      <c r="T44" s="6"/>
      <c r="U44" s="6"/>
    </row>
    <row r="45" spans="1:21" s="2" customFormat="1" x14ac:dyDescent="0.25">
      <c r="B45" s="2" t="s">
        <v>86</v>
      </c>
      <c r="Q45" s="14" t="str">
        <f t="shared" ref="Q45:T45" si="14">IF(L45/744*1.15=0,"0",L45/744*1.15)</f>
        <v>0</v>
      </c>
      <c r="R45" s="14" t="str">
        <f t="shared" si="14"/>
        <v>0</v>
      </c>
      <c r="S45" s="14" t="str">
        <f t="shared" si="14"/>
        <v>0</v>
      </c>
      <c r="T45" s="14" t="str">
        <f t="shared" si="14"/>
        <v>0</v>
      </c>
      <c r="U45" s="14">
        <f t="shared" ref="U45" si="15">Q45+R45+S45+T45</f>
        <v>0</v>
      </c>
    </row>
    <row r="49" spans="1:257" s="2" customFormat="1" x14ac:dyDescent="0.25"/>
    <row r="50" spans="1:257" s="2" customFormat="1" ht="15.75" x14ac:dyDescent="0.25">
      <c r="A50" s="27" t="s">
        <v>76</v>
      </c>
      <c r="B50" s="33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  <c r="IK50" s="25"/>
      <c r="IL50" s="25"/>
      <c r="IM50" s="25"/>
      <c r="IN50" s="25"/>
      <c r="IO50" s="25"/>
      <c r="IP50" s="25"/>
      <c r="IQ50" s="25"/>
      <c r="IR50" s="25"/>
      <c r="IS50" s="25"/>
      <c r="IT50" s="25"/>
      <c r="IU50" s="25"/>
      <c r="IV50" s="25"/>
      <c r="IW50" s="25"/>
    </row>
    <row r="51" spans="1:257" s="2" customFormat="1" ht="15.75" x14ac:dyDescent="0.25">
      <c r="A51" s="27"/>
      <c r="B51" s="33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  <c r="IK51" s="25"/>
      <c r="IL51" s="25"/>
      <c r="IM51" s="25"/>
      <c r="IN51" s="25"/>
      <c r="IO51" s="25"/>
      <c r="IP51" s="25"/>
      <c r="IQ51" s="25"/>
      <c r="IR51" s="25"/>
      <c r="IS51" s="25"/>
      <c r="IT51" s="25"/>
      <c r="IU51" s="25"/>
      <c r="IV51" s="25"/>
      <c r="IW51" s="25"/>
    </row>
    <row r="52" spans="1:257" s="2" customFormat="1" ht="15.75" x14ac:dyDescent="0.25">
      <c r="A52" s="27" t="s">
        <v>77</v>
      </c>
      <c r="B52" s="33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  <c r="DS52" s="25"/>
      <c r="DT52" s="25"/>
      <c r="DU52" s="25"/>
      <c r="DV52" s="25"/>
      <c r="DW52" s="25"/>
      <c r="DX52" s="25"/>
      <c r="DY52" s="25"/>
      <c r="DZ52" s="25"/>
      <c r="EA52" s="25"/>
      <c r="EB52" s="25"/>
      <c r="EC52" s="25"/>
      <c r="ED52" s="25"/>
      <c r="EE52" s="25"/>
      <c r="EF52" s="25"/>
      <c r="EG52" s="25"/>
      <c r="EH52" s="25"/>
      <c r="EI52" s="25"/>
      <c r="EJ52" s="25"/>
      <c r="EK52" s="25"/>
      <c r="EL52" s="25"/>
      <c r="EM52" s="25"/>
      <c r="EN52" s="25"/>
      <c r="EO52" s="25"/>
      <c r="EP52" s="25"/>
      <c r="EQ52" s="25"/>
      <c r="ER52" s="25"/>
      <c r="ES52" s="25"/>
      <c r="ET52" s="25"/>
      <c r="EU52" s="25"/>
      <c r="EV52" s="25"/>
      <c r="EW52" s="25"/>
      <c r="EX52" s="25"/>
      <c r="EY52" s="25"/>
      <c r="EZ52" s="25"/>
      <c r="FA52" s="25"/>
      <c r="FB52" s="25"/>
      <c r="FC52" s="25"/>
      <c r="FD52" s="25"/>
      <c r="FE52" s="25"/>
      <c r="FF52" s="25"/>
      <c r="FG52" s="25"/>
      <c r="FH52" s="25"/>
      <c r="FI52" s="25"/>
      <c r="FJ52" s="25"/>
      <c r="FK52" s="25"/>
      <c r="FL52" s="25"/>
      <c r="FM52" s="25"/>
      <c r="FN52" s="25"/>
      <c r="FO52" s="25"/>
      <c r="FP52" s="25"/>
      <c r="FQ52" s="25"/>
      <c r="FR52" s="25"/>
      <c r="FS52" s="25"/>
      <c r="FT52" s="25"/>
      <c r="FU52" s="25"/>
      <c r="FV52" s="25"/>
      <c r="FW52" s="25"/>
      <c r="FX52" s="25"/>
      <c r="FY52" s="25"/>
      <c r="FZ52" s="25"/>
      <c r="GA52" s="25"/>
      <c r="GB52" s="25"/>
      <c r="GC52" s="25"/>
      <c r="GD52" s="25"/>
      <c r="GE52" s="25"/>
      <c r="GF52" s="25"/>
      <c r="GG52" s="25"/>
      <c r="GH52" s="25"/>
      <c r="GI52" s="25"/>
      <c r="GJ52" s="25"/>
      <c r="GK52" s="25"/>
      <c r="GL52" s="25"/>
      <c r="GM52" s="25"/>
      <c r="GN52" s="25"/>
      <c r="GO52" s="25"/>
      <c r="GP52" s="25"/>
      <c r="GQ52" s="25"/>
      <c r="GR52" s="25"/>
      <c r="GS52" s="25"/>
      <c r="GT52" s="25"/>
      <c r="GU52" s="25"/>
      <c r="GV52" s="25"/>
      <c r="GW52" s="25"/>
      <c r="GX52" s="25"/>
      <c r="GY52" s="25"/>
      <c r="GZ52" s="25"/>
      <c r="HA52" s="25"/>
      <c r="HB52" s="25"/>
      <c r="HC52" s="25"/>
      <c r="HD52" s="25"/>
      <c r="HE52" s="25"/>
      <c r="HF52" s="25"/>
      <c r="HG52" s="25"/>
      <c r="HH52" s="25"/>
      <c r="HI52" s="25"/>
      <c r="HJ52" s="25"/>
      <c r="HK52" s="25"/>
      <c r="HL52" s="25"/>
      <c r="HM52" s="25"/>
      <c r="HN52" s="25"/>
      <c r="HO52" s="25"/>
      <c r="HP52" s="25"/>
      <c r="HQ52" s="25"/>
      <c r="HR52" s="25"/>
      <c r="HS52" s="25"/>
      <c r="HT52" s="25"/>
      <c r="HU52" s="25"/>
      <c r="HV52" s="25"/>
      <c r="HW52" s="25"/>
      <c r="HX52" s="25"/>
      <c r="HY52" s="25"/>
      <c r="HZ52" s="25"/>
      <c r="IA52" s="25"/>
      <c r="IB52" s="25"/>
      <c r="IC52" s="25"/>
      <c r="ID52" s="25"/>
      <c r="IE52" s="25"/>
      <c r="IF52" s="25"/>
      <c r="IG52" s="25"/>
      <c r="IH52" s="25"/>
      <c r="II52" s="25"/>
      <c r="IJ52" s="25"/>
      <c r="IK52" s="25"/>
      <c r="IL52" s="25"/>
      <c r="IM52" s="25"/>
      <c r="IN52" s="25"/>
      <c r="IO52" s="25"/>
      <c r="IP52" s="25"/>
      <c r="IQ52" s="25"/>
      <c r="IR52" s="25"/>
      <c r="IS52" s="25"/>
      <c r="IT52" s="25"/>
      <c r="IU52" s="25"/>
      <c r="IV52" s="25"/>
      <c r="IW52" s="25"/>
    </row>
  </sheetData>
  <mergeCells count="7">
    <mergeCell ref="Q5:U6"/>
    <mergeCell ref="A2:K2"/>
    <mergeCell ref="A3:K3"/>
    <mergeCell ref="A5:A6"/>
    <mergeCell ref="B5:F6"/>
    <mergeCell ref="G5:K6"/>
    <mergeCell ref="L5:P6"/>
  </mergeCells>
  <pageMargins left="0.7" right="0.7" top="0.75" bottom="0.75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W52"/>
  <sheetViews>
    <sheetView view="pageBreakPreview" topLeftCell="A31" zoomScaleNormal="100" zoomScaleSheetLayoutView="100" workbookViewId="0">
      <selection activeCell="K31" sqref="K1:W1048576"/>
    </sheetView>
  </sheetViews>
  <sheetFormatPr defaultRowHeight="15" x14ac:dyDescent="0.25"/>
  <cols>
    <col min="1" max="1" width="38" style="6" customWidth="1"/>
    <col min="2" max="13" width="9.140625" style="6" customWidth="1"/>
    <col min="14" max="14" width="9.85546875" style="6" customWidth="1"/>
    <col min="15" max="15" width="10.140625" style="6" customWidth="1"/>
    <col min="16" max="16" width="10" style="6" customWidth="1"/>
    <col min="17" max="21" width="9.140625" style="28" customWidth="1"/>
    <col min="22" max="24" width="9.140625" style="6" customWidth="1"/>
    <col min="25" max="16384" width="9.140625" style="6"/>
  </cols>
  <sheetData>
    <row r="1" spans="1:21" ht="15.75" x14ac:dyDescent="0.25">
      <c r="J1" s="59" t="s">
        <v>100</v>
      </c>
    </row>
    <row r="2" spans="1:21" ht="15.75" x14ac:dyDescent="0.25">
      <c r="A2" s="67" t="s">
        <v>33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21" ht="15.75" x14ac:dyDescent="0.25">
      <c r="A3" s="67" t="s">
        <v>64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21" x14ac:dyDescent="0.25">
      <c r="A4" s="18" t="s">
        <v>34</v>
      </c>
      <c r="B4" s="4"/>
      <c r="C4" s="4"/>
      <c r="D4" s="4"/>
      <c r="E4" s="4"/>
      <c r="F4" s="5"/>
      <c r="K4" s="7"/>
    </row>
    <row r="5" spans="1:21" x14ac:dyDescent="0.25">
      <c r="A5" s="68" t="s">
        <v>35</v>
      </c>
      <c r="B5" s="66" t="s">
        <v>29</v>
      </c>
      <c r="C5" s="66"/>
      <c r="D5" s="66"/>
      <c r="E5" s="66"/>
      <c r="F5" s="66"/>
      <c r="G5" s="66" t="s">
        <v>36</v>
      </c>
      <c r="H5" s="66"/>
      <c r="I5" s="66"/>
      <c r="J5" s="66"/>
      <c r="K5" s="66"/>
      <c r="L5" s="66" t="s">
        <v>42</v>
      </c>
      <c r="M5" s="66"/>
      <c r="N5" s="66"/>
      <c r="O5" s="66"/>
      <c r="P5" s="66"/>
      <c r="Q5" s="66" t="s">
        <v>43</v>
      </c>
      <c r="R5" s="66"/>
      <c r="S5" s="66"/>
      <c r="T5" s="66"/>
      <c r="U5" s="66"/>
    </row>
    <row r="6" spans="1:21" x14ac:dyDescent="0.25">
      <c r="A6" s="69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</row>
    <row r="7" spans="1:21" x14ac:dyDescent="0.25">
      <c r="A7" s="29" t="s">
        <v>37</v>
      </c>
      <c r="B7" s="9" t="s">
        <v>1</v>
      </c>
      <c r="C7" s="9" t="s">
        <v>39</v>
      </c>
      <c r="D7" s="9" t="s">
        <v>40</v>
      </c>
      <c r="E7" s="9" t="s">
        <v>2</v>
      </c>
      <c r="F7" s="9" t="s">
        <v>41</v>
      </c>
      <c r="G7" s="9" t="s">
        <v>1</v>
      </c>
      <c r="H7" s="9" t="s">
        <v>39</v>
      </c>
      <c r="I7" s="9" t="s">
        <v>40</v>
      </c>
      <c r="J7" s="9" t="s">
        <v>2</v>
      </c>
      <c r="K7" s="9" t="s">
        <v>41</v>
      </c>
      <c r="L7" s="9" t="s">
        <v>1</v>
      </c>
      <c r="M7" s="9" t="s">
        <v>39</v>
      </c>
      <c r="N7" s="9" t="s">
        <v>40</v>
      </c>
      <c r="O7" s="9" t="s">
        <v>2</v>
      </c>
      <c r="P7" s="9" t="s">
        <v>41</v>
      </c>
      <c r="Q7" s="9" t="s">
        <v>1</v>
      </c>
      <c r="R7" s="9" t="s">
        <v>39</v>
      </c>
      <c r="S7" s="9" t="s">
        <v>40</v>
      </c>
      <c r="T7" s="9" t="s">
        <v>2</v>
      </c>
      <c r="U7" s="9" t="s">
        <v>41</v>
      </c>
    </row>
    <row r="8" spans="1:21" x14ac:dyDescent="0.25">
      <c r="A8" s="30" t="s">
        <v>3</v>
      </c>
      <c r="B8" s="11">
        <f t="shared" ref="B8:B39" si="0">IF(L8/$P$40=0,"-",L8/$P$40)</f>
        <v>7.9579323889900008E-3</v>
      </c>
      <c r="C8" s="11" t="str">
        <f t="shared" ref="C8:C39" si="1">IF(M8/$P$40=0,"-",M8/$P$40)</f>
        <v>-</v>
      </c>
      <c r="D8" s="11" t="str">
        <f t="shared" ref="D8:D39" si="2">IF(N8/$P$40=0,"-",N8/$P$40)</f>
        <v>-</v>
      </c>
      <c r="E8" s="11" t="str">
        <f t="shared" ref="E8:E39" si="3">IF(O8/$P$40=0,"-",O8/$P$40)</f>
        <v>-</v>
      </c>
      <c r="F8" s="11">
        <f t="shared" ref="F8:F39" si="4">P8/$P$40</f>
        <v>7.9579323889900008E-3</v>
      </c>
      <c r="G8" s="11">
        <f t="shared" ref="G8:G39" si="5">IF(Q8/$U$40=0,"-",Q8/$U$40)</f>
        <v>7.9579323889900008E-3</v>
      </c>
      <c r="H8" s="11" t="str">
        <f t="shared" ref="H8:H39" si="6">IF(R8/$U$40=0,"-",R8/$U$40)</f>
        <v>-</v>
      </c>
      <c r="I8" s="11" t="str">
        <f t="shared" ref="I8:I39" si="7">IF(S8/$U$40=0,"-",S8/$U$40)</f>
        <v>-</v>
      </c>
      <c r="J8" s="11" t="str">
        <f t="shared" ref="J8:J39" si="8">IF(T8/$U$40=0,"-",T8/$U$40)</f>
        <v>-</v>
      </c>
      <c r="K8" s="11">
        <f t="shared" ref="K8:K39" si="9">IF(U8/$U$40=0,"-",U8/$U$40)</f>
        <v>7.9579323889900008E-3</v>
      </c>
      <c r="L8" s="13">
        <v>299037</v>
      </c>
      <c r="M8" s="13"/>
      <c r="N8" s="13"/>
      <c r="O8" s="13"/>
      <c r="P8" s="13">
        <f t="shared" ref="P8:P39" si="10">SUM(L8:O8)</f>
        <v>299037</v>
      </c>
      <c r="Q8" s="14">
        <f t="shared" ref="Q8:T41" si="11">IF(L8/744*1.15=0,"0",L8/744*1.15)</f>
        <v>462.22116935483871</v>
      </c>
      <c r="R8" s="14" t="str">
        <f t="shared" si="11"/>
        <v>0</v>
      </c>
      <c r="S8" s="14" t="str">
        <f t="shared" si="11"/>
        <v>0</v>
      </c>
      <c r="T8" s="14" t="str">
        <f t="shared" si="11"/>
        <v>0</v>
      </c>
      <c r="U8" s="14">
        <f t="shared" ref="U8:U41" si="12">Q8+R8+S8+T8</f>
        <v>462.22116935483871</v>
      </c>
    </row>
    <row r="9" spans="1:21" x14ac:dyDescent="0.25">
      <c r="A9" s="30" t="s">
        <v>4</v>
      </c>
      <c r="B9" s="11" t="str">
        <f t="shared" si="0"/>
        <v>-</v>
      </c>
      <c r="C9" s="11" t="str">
        <f t="shared" si="1"/>
        <v>-</v>
      </c>
      <c r="D9" s="11">
        <f t="shared" si="2"/>
        <v>2.3489601666413722E-2</v>
      </c>
      <c r="E9" s="11">
        <f t="shared" si="3"/>
        <v>1.5016809517829457E-2</v>
      </c>
      <c r="F9" s="11">
        <f t="shared" si="4"/>
        <v>3.8506411184243181E-2</v>
      </c>
      <c r="G9" s="11" t="str">
        <f t="shared" si="5"/>
        <v>-</v>
      </c>
      <c r="H9" s="11" t="str">
        <f t="shared" si="6"/>
        <v>-</v>
      </c>
      <c r="I9" s="11">
        <f t="shared" si="7"/>
        <v>2.3489601666413725E-2</v>
      </c>
      <c r="J9" s="11">
        <f t="shared" si="8"/>
        <v>1.5016809517829457E-2</v>
      </c>
      <c r="K9" s="11">
        <f t="shared" si="9"/>
        <v>3.8506411184243181E-2</v>
      </c>
      <c r="L9" s="13"/>
      <c r="M9" s="13"/>
      <c r="N9" s="13">
        <v>882674</v>
      </c>
      <c r="O9" s="13">
        <v>564290</v>
      </c>
      <c r="P9" s="13">
        <f t="shared" si="10"/>
        <v>1446964</v>
      </c>
      <c r="Q9" s="14" t="str">
        <f t="shared" si="11"/>
        <v>0</v>
      </c>
      <c r="R9" s="14" t="str">
        <f t="shared" si="11"/>
        <v>0</v>
      </c>
      <c r="S9" s="14">
        <f t="shared" si="11"/>
        <v>1364.3482526881721</v>
      </c>
      <c r="T9" s="14">
        <f t="shared" si="11"/>
        <v>872.22244623655911</v>
      </c>
      <c r="U9" s="14">
        <f t="shared" si="12"/>
        <v>2236.570698924731</v>
      </c>
    </row>
    <row r="10" spans="1:21" x14ac:dyDescent="0.25">
      <c r="A10" s="30" t="s">
        <v>51</v>
      </c>
      <c r="B10" s="11" t="str">
        <f t="shared" si="0"/>
        <v>-</v>
      </c>
      <c r="C10" s="11" t="str">
        <f t="shared" si="1"/>
        <v>-</v>
      </c>
      <c r="D10" s="11">
        <f t="shared" si="2"/>
        <v>1.8810650270777062E-2</v>
      </c>
      <c r="E10" s="11">
        <f t="shared" si="3"/>
        <v>1.2449296745531196E-2</v>
      </c>
      <c r="F10" s="11">
        <f t="shared" si="4"/>
        <v>3.1259947016308257E-2</v>
      </c>
      <c r="G10" s="11" t="str">
        <f t="shared" si="5"/>
        <v>-</v>
      </c>
      <c r="H10" s="11" t="str">
        <f t="shared" si="6"/>
        <v>-</v>
      </c>
      <c r="I10" s="11">
        <f t="shared" si="7"/>
        <v>1.8810650270777062E-2</v>
      </c>
      <c r="J10" s="11">
        <f t="shared" si="8"/>
        <v>1.2449296745531196E-2</v>
      </c>
      <c r="K10" s="11">
        <f t="shared" si="9"/>
        <v>3.1259947016308264E-2</v>
      </c>
      <c r="L10" s="13"/>
      <c r="M10" s="13"/>
      <c r="N10" s="13">
        <v>706852</v>
      </c>
      <c r="O10" s="13">
        <v>467810</v>
      </c>
      <c r="P10" s="13">
        <f t="shared" si="10"/>
        <v>1174662</v>
      </c>
      <c r="Q10" s="14" t="str">
        <f t="shared" si="11"/>
        <v>0</v>
      </c>
      <c r="R10" s="14" t="str">
        <f t="shared" si="11"/>
        <v>0</v>
      </c>
      <c r="S10" s="14">
        <f t="shared" si="11"/>
        <v>1092.5803763440861</v>
      </c>
      <c r="T10" s="14">
        <f t="shared" si="11"/>
        <v>723.0934139784946</v>
      </c>
      <c r="U10" s="14">
        <f t="shared" si="12"/>
        <v>1815.6737903225808</v>
      </c>
    </row>
    <row r="11" spans="1:21" x14ac:dyDescent="0.25">
      <c r="A11" s="30" t="s">
        <v>6</v>
      </c>
      <c r="B11" s="11" t="str">
        <f t="shared" si="0"/>
        <v>-</v>
      </c>
      <c r="C11" s="11" t="str">
        <f t="shared" si="1"/>
        <v>-</v>
      </c>
      <c r="D11" s="11">
        <f t="shared" si="2"/>
        <v>3.282440535853328E-3</v>
      </c>
      <c r="E11" s="11">
        <f t="shared" si="3"/>
        <v>9.4983336049074187E-3</v>
      </c>
      <c r="F11" s="11">
        <f t="shared" si="4"/>
        <v>1.2780774140760747E-2</v>
      </c>
      <c r="G11" s="11" t="str">
        <f t="shared" si="5"/>
        <v>-</v>
      </c>
      <c r="H11" s="11" t="str">
        <f t="shared" si="6"/>
        <v>-</v>
      </c>
      <c r="I11" s="11">
        <f t="shared" si="7"/>
        <v>3.2824405358533276E-3</v>
      </c>
      <c r="J11" s="11">
        <f t="shared" si="8"/>
        <v>9.4983336049074205E-3</v>
      </c>
      <c r="K11" s="11">
        <f t="shared" si="9"/>
        <v>1.2780774140760748E-2</v>
      </c>
      <c r="L11" s="13"/>
      <c r="M11" s="13"/>
      <c r="N11" s="13">
        <v>123345</v>
      </c>
      <c r="O11" s="13">
        <v>356921</v>
      </c>
      <c r="P11" s="13">
        <f t="shared" si="10"/>
        <v>480266</v>
      </c>
      <c r="Q11" s="14" t="str">
        <f t="shared" si="11"/>
        <v>0</v>
      </c>
      <c r="R11" s="14" t="str">
        <f t="shared" si="11"/>
        <v>0</v>
      </c>
      <c r="S11" s="14">
        <f t="shared" si="11"/>
        <v>190.65423387096772</v>
      </c>
      <c r="T11" s="14">
        <f t="shared" si="11"/>
        <v>551.69240591397852</v>
      </c>
      <c r="U11" s="14">
        <f t="shared" si="12"/>
        <v>742.34663978494621</v>
      </c>
    </row>
    <row r="12" spans="1:21" x14ac:dyDescent="0.25">
      <c r="A12" s="30" t="s">
        <v>52</v>
      </c>
      <c r="B12" s="11">
        <f t="shared" si="0"/>
        <v>5.3943155937840326E-2</v>
      </c>
      <c r="C12" s="11">
        <f t="shared" si="1"/>
        <v>1.3098040799874967E-2</v>
      </c>
      <c r="D12" s="11">
        <f t="shared" si="2"/>
        <v>0.1798280304002241</v>
      </c>
      <c r="E12" s="11">
        <f t="shared" si="3"/>
        <v>4.7214878012672733E-2</v>
      </c>
      <c r="F12" s="11">
        <f t="shared" si="4"/>
        <v>0.29408410515061212</v>
      </c>
      <c r="G12" s="11">
        <f t="shared" si="5"/>
        <v>5.3943155937840326E-2</v>
      </c>
      <c r="H12" s="11">
        <f t="shared" si="6"/>
        <v>1.3098040799874965E-2</v>
      </c>
      <c r="I12" s="11">
        <f t="shared" si="7"/>
        <v>0.17982803040022408</v>
      </c>
      <c r="J12" s="11">
        <f t="shared" si="8"/>
        <v>4.7214878012672733E-2</v>
      </c>
      <c r="K12" s="11">
        <f t="shared" si="9"/>
        <v>0.29408410515061212</v>
      </c>
      <c r="L12" s="13">
        <v>2027034</v>
      </c>
      <c r="M12" s="13">
        <v>492188</v>
      </c>
      <c r="N12" s="13">
        <v>6757438</v>
      </c>
      <c r="O12" s="13">
        <v>1774204</v>
      </c>
      <c r="P12" s="13">
        <f t="shared" si="10"/>
        <v>11050864</v>
      </c>
      <c r="Q12" s="14">
        <f t="shared" si="11"/>
        <v>3133.1842741935484</v>
      </c>
      <c r="R12" s="14">
        <f t="shared" si="11"/>
        <v>760.77446236559126</v>
      </c>
      <c r="S12" s="14">
        <f t="shared" si="11"/>
        <v>10444.964650537633</v>
      </c>
      <c r="T12" s="14">
        <f t="shared" si="11"/>
        <v>2742.3852150537632</v>
      </c>
      <c r="U12" s="14">
        <f t="shared" si="12"/>
        <v>17081.308602150537</v>
      </c>
    </row>
    <row r="13" spans="1:21" x14ac:dyDescent="0.25">
      <c r="A13" s="30" t="s">
        <v>9</v>
      </c>
      <c r="B13" s="11" t="str">
        <f t="shared" si="0"/>
        <v>-</v>
      </c>
      <c r="C13" s="11" t="str">
        <f t="shared" si="1"/>
        <v>-</v>
      </c>
      <c r="D13" s="11">
        <f t="shared" si="2"/>
        <v>6.7207999909945446E-3</v>
      </c>
      <c r="E13" s="11">
        <f t="shared" si="3"/>
        <v>7.2244295433965414E-3</v>
      </c>
      <c r="F13" s="11">
        <f t="shared" si="4"/>
        <v>1.3945229534391085E-2</v>
      </c>
      <c r="G13" s="11" t="str">
        <f t="shared" si="5"/>
        <v>-</v>
      </c>
      <c r="H13" s="11" t="str">
        <f t="shared" si="6"/>
        <v>-</v>
      </c>
      <c r="I13" s="11">
        <f t="shared" si="7"/>
        <v>6.7207999909945446E-3</v>
      </c>
      <c r="J13" s="11">
        <f t="shared" si="8"/>
        <v>7.2244295433965405E-3</v>
      </c>
      <c r="K13" s="11">
        <f t="shared" si="9"/>
        <v>1.3945229534391085E-2</v>
      </c>
      <c r="L13" s="13"/>
      <c r="M13" s="13"/>
      <c r="N13" s="13">
        <v>252549</v>
      </c>
      <c r="O13" s="13">
        <v>271474</v>
      </c>
      <c r="P13" s="13">
        <f t="shared" si="10"/>
        <v>524023</v>
      </c>
      <c r="Q13" s="14" t="str">
        <f t="shared" si="11"/>
        <v>0</v>
      </c>
      <c r="R13" s="14" t="str">
        <f t="shared" si="11"/>
        <v>0</v>
      </c>
      <c r="S13" s="14">
        <f t="shared" si="11"/>
        <v>390.36471774193546</v>
      </c>
      <c r="T13" s="14">
        <f t="shared" si="11"/>
        <v>419.61706989247307</v>
      </c>
      <c r="U13" s="14">
        <f t="shared" si="12"/>
        <v>809.98178763440853</v>
      </c>
    </row>
    <row r="14" spans="1:21" x14ac:dyDescent="0.25">
      <c r="A14" s="30" t="s">
        <v>10</v>
      </c>
      <c r="B14" s="11" t="str">
        <f t="shared" si="0"/>
        <v>-</v>
      </c>
      <c r="C14" s="11" t="str">
        <f t="shared" si="1"/>
        <v>-</v>
      </c>
      <c r="D14" s="11">
        <f t="shared" si="2"/>
        <v>1.576500211311517E-2</v>
      </c>
      <c r="E14" s="11">
        <f t="shared" si="3"/>
        <v>8.0524577348358075E-3</v>
      </c>
      <c r="F14" s="11">
        <f t="shared" si="4"/>
        <v>2.3817459847950979E-2</v>
      </c>
      <c r="G14" s="11" t="str">
        <f t="shared" si="5"/>
        <v>-</v>
      </c>
      <c r="H14" s="11" t="str">
        <f t="shared" si="6"/>
        <v>-</v>
      </c>
      <c r="I14" s="11">
        <f t="shared" si="7"/>
        <v>1.576500211311517E-2</v>
      </c>
      <c r="J14" s="11">
        <f t="shared" si="8"/>
        <v>8.0524577348358075E-3</v>
      </c>
      <c r="K14" s="11">
        <f t="shared" si="9"/>
        <v>2.3817459847950976E-2</v>
      </c>
      <c r="L14" s="13"/>
      <c r="M14" s="13"/>
      <c r="N14" s="13">
        <v>592405</v>
      </c>
      <c r="O14" s="13">
        <v>302589</v>
      </c>
      <c r="P14" s="13">
        <f t="shared" si="10"/>
        <v>894994</v>
      </c>
      <c r="Q14" s="14" t="str">
        <f t="shared" si="11"/>
        <v>0</v>
      </c>
      <c r="R14" s="14" t="str">
        <f t="shared" si="11"/>
        <v>0</v>
      </c>
      <c r="S14" s="14">
        <f t="shared" si="11"/>
        <v>915.67977150537627</v>
      </c>
      <c r="T14" s="14">
        <f t="shared" si="11"/>
        <v>467.71149193548382</v>
      </c>
      <c r="U14" s="14">
        <f t="shared" si="12"/>
        <v>1383.39126344086</v>
      </c>
    </row>
    <row r="15" spans="1:21" x14ac:dyDescent="0.25">
      <c r="A15" s="30" t="s">
        <v>12</v>
      </c>
      <c r="B15" s="11" t="str">
        <f t="shared" si="0"/>
        <v>-</v>
      </c>
      <c r="C15" s="11" t="str">
        <f t="shared" si="1"/>
        <v>-</v>
      </c>
      <c r="D15" s="11">
        <f t="shared" si="2"/>
        <v>5.5574356838449714E-3</v>
      </c>
      <c r="E15" s="11">
        <f t="shared" si="3"/>
        <v>2.7315216986630439E-3</v>
      </c>
      <c r="F15" s="11">
        <f t="shared" si="4"/>
        <v>8.2889573825080162E-3</v>
      </c>
      <c r="G15" s="11" t="str">
        <f t="shared" si="5"/>
        <v>-</v>
      </c>
      <c r="H15" s="11" t="str">
        <f t="shared" si="6"/>
        <v>-</v>
      </c>
      <c r="I15" s="11">
        <f t="shared" si="7"/>
        <v>5.5574356838449723E-3</v>
      </c>
      <c r="J15" s="11">
        <f t="shared" si="8"/>
        <v>2.7315216986630439E-3</v>
      </c>
      <c r="K15" s="11">
        <f t="shared" si="9"/>
        <v>8.2889573825080162E-3</v>
      </c>
      <c r="L15" s="13"/>
      <c r="M15" s="13"/>
      <c r="N15" s="13">
        <v>208833</v>
      </c>
      <c r="O15" s="13">
        <v>102643</v>
      </c>
      <c r="P15" s="13">
        <f t="shared" si="10"/>
        <v>311476</v>
      </c>
      <c r="Q15" s="14" t="str">
        <f t="shared" si="11"/>
        <v>0</v>
      </c>
      <c r="R15" s="14" t="str">
        <f t="shared" si="11"/>
        <v>0</v>
      </c>
      <c r="S15" s="14">
        <f t="shared" si="11"/>
        <v>322.79294354838709</v>
      </c>
      <c r="T15" s="14">
        <f t="shared" si="11"/>
        <v>158.6551747311828</v>
      </c>
      <c r="U15" s="14">
        <f t="shared" si="12"/>
        <v>481.44811827956988</v>
      </c>
    </row>
    <row r="16" spans="1:21" x14ac:dyDescent="0.25">
      <c r="A16" s="30" t="s">
        <v>13</v>
      </c>
      <c r="B16" s="11">
        <f t="shared" si="0"/>
        <v>1.5672100091057819E-2</v>
      </c>
      <c r="C16" s="11" t="str">
        <f t="shared" si="1"/>
        <v>-</v>
      </c>
      <c r="D16" s="11">
        <f t="shared" si="2"/>
        <v>4.6002068859638725E-3</v>
      </c>
      <c r="E16" s="11">
        <f t="shared" si="3"/>
        <v>8.1935006213737505E-3</v>
      </c>
      <c r="F16" s="11">
        <f t="shared" si="4"/>
        <v>2.8465807598395444E-2</v>
      </c>
      <c r="G16" s="11">
        <f t="shared" si="5"/>
        <v>1.5672100091057819E-2</v>
      </c>
      <c r="H16" s="11" t="str">
        <f t="shared" si="6"/>
        <v>-</v>
      </c>
      <c r="I16" s="11">
        <f t="shared" si="7"/>
        <v>4.6002068859638716E-3</v>
      </c>
      <c r="J16" s="11">
        <f t="shared" si="8"/>
        <v>8.1935006213737505E-3</v>
      </c>
      <c r="K16" s="11">
        <f t="shared" si="9"/>
        <v>2.8465807598395437E-2</v>
      </c>
      <c r="L16" s="13">
        <v>588914</v>
      </c>
      <c r="M16" s="13"/>
      <c r="N16" s="13">
        <v>172863</v>
      </c>
      <c r="O16" s="13">
        <v>307889</v>
      </c>
      <c r="P16" s="13">
        <f t="shared" si="10"/>
        <v>1069666</v>
      </c>
      <c r="Q16" s="14">
        <f t="shared" si="11"/>
        <v>910.2837365591397</v>
      </c>
      <c r="R16" s="14" t="str">
        <f t="shared" si="11"/>
        <v>0</v>
      </c>
      <c r="S16" s="14">
        <f t="shared" si="11"/>
        <v>267.19415322580642</v>
      </c>
      <c r="T16" s="14">
        <f t="shared" si="11"/>
        <v>475.90369623655909</v>
      </c>
      <c r="U16" s="14">
        <f t="shared" si="12"/>
        <v>1653.381586021505</v>
      </c>
    </row>
    <row r="17" spans="1:23" x14ac:dyDescent="0.25">
      <c r="A17" s="30" t="s">
        <v>14</v>
      </c>
      <c r="B17" s="11" t="str">
        <f t="shared" si="0"/>
        <v>-</v>
      </c>
      <c r="C17" s="11" t="str">
        <f t="shared" si="1"/>
        <v>-</v>
      </c>
      <c r="D17" s="11">
        <f t="shared" si="2"/>
        <v>1.3728742009488034E-2</v>
      </c>
      <c r="E17" s="11">
        <f t="shared" si="3"/>
        <v>1.4681500013984536E-2</v>
      </c>
      <c r="F17" s="11">
        <f t="shared" si="4"/>
        <v>2.841024202347257E-2</v>
      </c>
      <c r="G17" s="11" t="str">
        <f t="shared" si="5"/>
        <v>-</v>
      </c>
      <c r="H17" s="11" t="str">
        <f t="shared" si="6"/>
        <v>-</v>
      </c>
      <c r="I17" s="11">
        <f t="shared" si="7"/>
        <v>1.3728742009488036E-2</v>
      </c>
      <c r="J17" s="11">
        <f t="shared" si="8"/>
        <v>1.4681500013984536E-2</v>
      </c>
      <c r="K17" s="11">
        <f t="shared" si="9"/>
        <v>2.8410242023472573E-2</v>
      </c>
      <c r="L17" s="13"/>
      <c r="M17" s="13"/>
      <c r="N17" s="13">
        <v>515888</v>
      </c>
      <c r="O17" s="13">
        <v>551690</v>
      </c>
      <c r="P17" s="13">
        <f t="shared" si="10"/>
        <v>1067578</v>
      </c>
      <c r="Q17" s="14" t="str">
        <f t="shared" si="11"/>
        <v>0</v>
      </c>
      <c r="R17" s="14" t="str">
        <f t="shared" si="11"/>
        <v>0</v>
      </c>
      <c r="S17" s="14">
        <f t="shared" si="11"/>
        <v>797.4075268817204</v>
      </c>
      <c r="T17" s="14">
        <f t="shared" si="11"/>
        <v>852.74663978494618</v>
      </c>
      <c r="U17" s="14">
        <f t="shared" si="12"/>
        <v>1650.1541666666667</v>
      </c>
    </row>
    <row r="18" spans="1:23" x14ac:dyDescent="0.25">
      <c r="A18" s="30" t="s">
        <v>15</v>
      </c>
      <c r="B18" s="11" t="str">
        <f t="shared" si="0"/>
        <v>-</v>
      </c>
      <c r="C18" s="11" t="str">
        <f t="shared" si="1"/>
        <v>-</v>
      </c>
      <c r="D18" s="11">
        <f t="shared" si="2"/>
        <v>8.5638047281993129E-3</v>
      </c>
      <c r="E18" s="11">
        <f t="shared" si="3"/>
        <v>1.3109829856240308E-2</v>
      </c>
      <c r="F18" s="11">
        <f t="shared" si="4"/>
        <v>2.1673634584439622E-2</v>
      </c>
      <c r="G18" s="11" t="str">
        <f t="shared" si="5"/>
        <v>-</v>
      </c>
      <c r="H18" s="11" t="str">
        <f t="shared" si="6"/>
        <v>-</v>
      </c>
      <c r="I18" s="11">
        <f t="shared" si="7"/>
        <v>8.5638047281993146E-3</v>
      </c>
      <c r="J18" s="11">
        <f t="shared" si="8"/>
        <v>1.3109829856240308E-2</v>
      </c>
      <c r="K18" s="11">
        <f t="shared" si="9"/>
        <v>2.1673634584439619E-2</v>
      </c>
      <c r="L18" s="13"/>
      <c r="M18" s="13"/>
      <c r="N18" s="13">
        <v>321804</v>
      </c>
      <c r="O18" s="13">
        <v>492631</v>
      </c>
      <c r="P18" s="13">
        <f t="shared" si="10"/>
        <v>814435</v>
      </c>
      <c r="Q18" s="14" t="str">
        <f t="shared" si="11"/>
        <v>0</v>
      </c>
      <c r="R18" s="14" t="str">
        <f t="shared" si="11"/>
        <v>0</v>
      </c>
      <c r="S18" s="14">
        <f t="shared" si="11"/>
        <v>497.41209677419351</v>
      </c>
      <c r="T18" s="14">
        <f t="shared" si="11"/>
        <v>761.45920698924726</v>
      </c>
      <c r="U18" s="14">
        <f t="shared" si="12"/>
        <v>1258.8713037634407</v>
      </c>
    </row>
    <row r="19" spans="1:23" x14ac:dyDescent="0.25">
      <c r="A19" s="30" t="s">
        <v>16</v>
      </c>
      <c r="B19" s="11" t="str">
        <f t="shared" si="0"/>
        <v>-</v>
      </c>
      <c r="C19" s="11" t="str">
        <f t="shared" si="1"/>
        <v>-</v>
      </c>
      <c r="D19" s="11">
        <f t="shared" si="2"/>
        <v>1.5368511930751243E-2</v>
      </c>
      <c r="E19" s="11">
        <f t="shared" si="3"/>
        <v>2.3458625455106144E-2</v>
      </c>
      <c r="F19" s="11">
        <f t="shared" si="4"/>
        <v>3.8827137385857385E-2</v>
      </c>
      <c r="G19" s="11" t="str">
        <f t="shared" si="5"/>
        <v>-</v>
      </c>
      <c r="H19" s="11" t="str">
        <f t="shared" si="6"/>
        <v>-</v>
      </c>
      <c r="I19" s="11">
        <f t="shared" si="7"/>
        <v>1.5368511930751243E-2</v>
      </c>
      <c r="J19" s="11">
        <f t="shared" si="8"/>
        <v>2.3458625455106141E-2</v>
      </c>
      <c r="K19" s="11">
        <f t="shared" si="9"/>
        <v>3.8827137385857378E-2</v>
      </c>
      <c r="L19" s="13"/>
      <c r="M19" s="13"/>
      <c r="N19" s="13">
        <v>577506</v>
      </c>
      <c r="O19" s="13">
        <v>881510</v>
      </c>
      <c r="P19" s="13">
        <f t="shared" si="10"/>
        <v>1459016</v>
      </c>
      <c r="Q19" s="14" t="str">
        <f t="shared" si="11"/>
        <v>0</v>
      </c>
      <c r="R19" s="14" t="str">
        <f t="shared" si="11"/>
        <v>0</v>
      </c>
      <c r="S19" s="14">
        <f t="shared" si="11"/>
        <v>892.65040322580637</v>
      </c>
      <c r="T19" s="14">
        <f t="shared" si="11"/>
        <v>1362.5490591397847</v>
      </c>
      <c r="U19" s="14">
        <f t="shared" si="12"/>
        <v>2255.199462365591</v>
      </c>
    </row>
    <row r="20" spans="1:23" x14ac:dyDescent="0.25">
      <c r="A20" s="30" t="s">
        <v>47</v>
      </c>
      <c r="B20" s="11" t="str">
        <f t="shared" si="0"/>
        <v>-</v>
      </c>
      <c r="C20" s="11" t="str">
        <f t="shared" si="1"/>
        <v>-</v>
      </c>
      <c r="D20" s="11">
        <f t="shared" si="2"/>
        <v>4.8239594501168969E-3</v>
      </c>
      <c r="E20" s="11">
        <f t="shared" si="3"/>
        <v>1.1011457658805708E-3</v>
      </c>
      <c r="F20" s="11">
        <f t="shared" si="4"/>
        <v>5.9251052159974673E-3</v>
      </c>
      <c r="G20" s="11" t="str">
        <f t="shared" si="5"/>
        <v>-</v>
      </c>
      <c r="H20" s="11" t="str">
        <f t="shared" si="6"/>
        <v>-</v>
      </c>
      <c r="I20" s="11">
        <f t="shared" si="7"/>
        <v>4.8239594501168961E-3</v>
      </c>
      <c r="J20" s="11">
        <f t="shared" si="8"/>
        <v>1.1011457658805708E-3</v>
      </c>
      <c r="K20" s="11">
        <f t="shared" si="9"/>
        <v>5.9251052159974673E-3</v>
      </c>
      <c r="L20" s="13"/>
      <c r="M20" s="13"/>
      <c r="N20" s="13">
        <f>60533+120738</f>
        <v>181271</v>
      </c>
      <c r="O20" s="13">
        <v>41378</v>
      </c>
      <c r="P20" s="13">
        <f t="shared" si="10"/>
        <v>222649</v>
      </c>
      <c r="Q20" s="14" t="str">
        <f t="shared" si="11"/>
        <v>0</v>
      </c>
      <c r="R20" s="14" t="str">
        <f t="shared" si="11"/>
        <v>0</v>
      </c>
      <c r="S20" s="14">
        <f t="shared" si="11"/>
        <v>280.19038978494621</v>
      </c>
      <c r="T20" s="14">
        <f t="shared" si="11"/>
        <v>63.957930107526877</v>
      </c>
      <c r="U20" s="14">
        <f t="shared" si="12"/>
        <v>344.14831989247307</v>
      </c>
    </row>
    <row r="21" spans="1:23" x14ac:dyDescent="0.25">
      <c r="A21" s="30" t="s">
        <v>45</v>
      </c>
      <c r="B21" s="11" t="str">
        <f t="shared" si="0"/>
        <v>-</v>
      </c>
      <c r="C21" s="11" t="str">
        <f t="shared" si="1"/>
        <v>-</v>
      </c>
      <c r="D21" s="11">
        <f t="shared" si="2"/>
        <v>1.8162065887625597E-3</v>
      </c>
      <c r="E21" s="11">
        <f t="shared" si="3"/>
        <v>8.1818180124699474E-3</v>
      </c>
      <c r="F21" s="11">
        <f t="shared" si="4"/>
        <v>9.9980246012325077E-3</v>
      </c>
      <c r="G21" s="11" t="str">
        <f t="shared" si="5"/>
        <v>-</v>
      </c>
      <c r="H21" s="11" t="str">
        <f t="shared" si="6"/>
        <v>-</v>
      </c>
      <c r="I21" s="11">
        <f t="shared" si="7"/>
        <v>1.8162065887625597E-3</v>
      </c>
      <c r="J21" s="11">
        <f t="shared" si="8"/>
        <v>8.1818180124699474E-3</v>
      </c>
      <c r="K21" s="11">
        <f t="shared" si="9"/>
        <v>9.9980246012325077E-3</v>
      </c>
      <c r="L21" s="13"/>
      <c r="M21" s="13"/>
      <c r="N21" s="13">
        <v>68248</v>
      </c>
      <c r="O21" s="13">
        <v>307450</v>
      </c>
      <c r="P21" s="13">
        <f t="shared" si="10"/>
        <v>375698</v>
      </c>
      <c r="Q21" s="14" t="str">
        <f t="shared" si="11"/>
        <v>0</v>
      </c>
      <c r="R21" s="14" t="str">
        <f t="shared" si="11"/>
        <v>0</v>
      </c>
      <c r="S21" s="14">
        <f t="shared" si="11"/>
        <v>105.49086021505376</v>
      </c>
      <c r="T21" s="14">
        <f t="shared" si="11"/>
        <v>475.22513440860212</v>
      </c>
      <c r="U21" s="14">
        <f t="shared" si="12"/>
        <v>580.71599462365589</v>
      </c>
    </row>
    <row r="22" spans="1:23" x14ac:dyDescent="0.25">
      <c r="A22" s="30" t="s">
        <v>30</v>
      </c>
      <c r="B22" s="11" t="str">
        <f t="shared" si="0"/>
        <v>-</v>
      </c>
      <c r="C22" s="11" t="str">
        <f t="shared" si="1"/>
        <v>-</v>
      </c>
      <c r="D22" s="11">
        <f t="shared" si="2"/>
        <v>6.8592083028594212E-4</v>
      </c>
      <c r="E22" s="11">
        <f t="shared" si="3"/>
        <v>3.8617808452742768E-3</v>
      </c>
      <c r="F22" s="11">
        <f t="shared" si="4"/>
        <v>4.5477016755602192E-3</v>
      </c>
      <c r="G22" s="11" t="str">
        <f t="shared" si="5"/>
        <v>-</v>
      </c>
      <c r="H22" s="11" t="str">
        <f t="shared" si="6"/>
        <v>-</v>
      </c>
      <c r="I22" s="11">
        <f t="shared" si="7"/>
        <v>6.8592083028594212E-4</v>
      </c>
      <c r="J22" s="11">
        <f t="shared" si="8"/>
        <v>3.8617808452742772E-3</v>
      </c>
      <c r="K22" s="11">
        <f t="shared" si="9"/>
        <v>4.5477016755602192E-3</v>
      </c>
      <c r="L22" s="13"/>
      <c r="M22" s="13"/>
      <c r="N22" s="13">
        <v>25775</v>
      </c>
      <c r="O22" s="13">
        <v>145115</v>
      </c>
      <c r="P22" s="13">
        <f t="shared" si="10"/>
        <v>170890</v>
      </c>
      <c r="Q22" s="14" t="str">
        <f t="shared" si="11"/>
        <v>0</v>
      </c>
      <c r="R22" s="14" t="str">
        <f t="shared" si="11"/>
        <v>0</v>
      </c>
      <c r="S22" s="14">
        <f t="shared" si="11"/>
        <v>39.840389784946233</v>
      </c>
      <c r="T22" s="14">
        <f t="shared" si="11"/>
        <v>224.3040994623656</v>
      </c>
      <c r="U22" s="14">
        <f t="shared" si="12"/>
        <v>264.14448924731181</v>
      </c>
    </row>
    <row r="23" spans="1:23" x14ac:dyDescent="0.25">
      <c r="A23" s="30" t="s">
        <v>50</v>
      </c>
      <c r="B23" s="11" t="str">
        <f t="shared" si="0"/>
        <v>-</v>
      </c>
      <c r="C23" s="11" t="str">
        <f t="shared" si="1"/>
        <v>-</v>
      </c>
      <c r="D23" s="11">
        <f t="shared" si="2"/>
        <v>7.612590211895115E-3</v>
      </c>
      <c r="E23" s="11">
        <f t="shared" si="3"/>
        <v>2.1167876082806864E-3</v>
      </c>
      <c r="F23" s="11">
        <f t="shared" si="4"/>
        <v>9.7293778201758014E-3</v>
      </c>
      <c r="G23" s="11" t="str">
        <f t="shared" si="5"/>
        <v>-</v>
      </c>
      <c r="H23" s="11" t="str">
        <f t="shared" si="6"/>
        <v>-</v>
      </c>
      <c r="I23" s="11">
        <f t="shared" si="7"/>
        <v>7.612590211895115E-3</v>
      </c>
      <c r="J23" s="11">
        <f t="shared" si="8"/>
        <v>2.1167876082806864E-3</v>
      </c>
      <c r="K23" s="11">
        <f t="shared" si="9"/>
        <v>9.7293778201758014E-3</v>
      </c>
      <c r="L23" s="13"/>
      <c r="M23" s="13"/>
      <c r="N23" s="13">
        <v>286060</v>
      </c>
      <c r="O23" s="13">
        <v>79543</v>
      </c>
      <c r="P23" s="13">
        <f t="shared" si="10"/>
        <v>365603</v>
      </c>
      <c r="Q23" s="14" t="str">
        <f t="shared" si="11"/>
        <v>0</v>
      </c>
      <c r="R23" s="14" t="str">
        <f t="shared" si="11"/>
        <v>0</v>
      </c>
      <c r="S23" s="14">
        <f t="shared" si="11"/>
        <v>442.16263440860212</v>
      </c>
      <c r="T23" s="14">
        <f t="shared" si="11"/>
        <v>122.94952956989246</v>
      </c>
      <c r="U23" s="14">
        <f t="shared" si="12"/>
        <v>565.11216397849455</v>
      </c>
    </row>
    <row r="24" spans="1:23" x14ac:dyDescent="0.25">
      <c r="A24" s="30" t="s">
        <v>17</v>
      </c>
      <c r="B24" s="11" t="str">
        <f t="shared" si="0"/>
        <v>-</v>
      </c>
      <c r="C24" s="11" t="str">
        <f t="shared" si="1"/>
        <v>-</v>
      </c>
      <c r="D24" s="11">
        <f t="shared" si="2"/>
        <v>9.7765074337717826E-3</v>
      </c>
      <c r="E24" s="11">
        <f t="shared" si="3"/>
        <v>1.7669959272935097E-2</v>
      </c>
      <c r="F24" s="11">
        <f t="shared" si="4"/>
        <v>2.744646670670688E-2</v>
      </c>
      <c r="G24" s="11" t="str">
        <f t="shared" si="5"/>
        <v>-</v>
      </c>
      <c r="H24" s="11" t="str">
        <f t="shared" si="6"/>
        <v>-</v>
      </c>
      <c r="I24" s="11">
        <f t="shared" si="7"/>
        <v>9.7765074337717826E-3</v>
      </c>
      <c r="J24" s="11">
        <f t="shared" si="8"/>
        <v>1.7669959272935101E-2</v>
      </c>
      <c r="K24" s="11">
        <f t="shared" si="9"/>
        <v>2.744646670670688E-2</v>
      </c>
      <c r="L24" s="13"/>
      <c r="M24" s="13"/>
      <c r="N24" s="13">
        <v>367374</v>
      </c>
      <c r="O24" s="13">
        <v>663988</v>
      </c>
      <c r="P24" s="13">
        <f t="shared" si="10"/>
        <v>1031362</v>
      </c>
      <c r="Q24" s="14" t="str">
        <f t="shared" si="11"/>
        <v>0</v>
      </c>
      <c r="R24" s="14" t="str">
        <f t="shared" si="11"/>
        <v>0</v>
      </c>
      <c r="S24" s="14">
        <f t="shared" si="11"/>
        <v>567.84959677419351</v>
      </c>
      <c r="T24" s="14">
        <f t="shared" si="11"/>
        <v>1026.3255376344086</v>
      </c>
      <c r="U24" s="14">
        <f t="shared" si="12"/>
        <v>1594.1751344086022</v>
      </c>
    </row>
    <row r="25" spans="1:23" x14ac:dyDescent="0.25">
      <c r="A25" s="30" t="s">
        <v>18</v>
      </c>
      <c r="B25" s="11" t="str">
        <f t="shared" si="0"/>
        <v>-</v>
      </c>
      <c r="C25" s="11" t="str">
        <f t="shared" si="1"/>
        <v>-</v>
      </c>
      <c r="D25" s="11">
        <f t="shared" si="2"/>
        <v>4.1606214487962562E-2</v>
      </c>
      <c r="E25" s="11">
        <f t="shared" si="3"/>
        <v>3.3170359608532007E-3</v>
      </c>
      <c r="F25" s="11">
        <f t="shared" si="4"/>
        <v>4.492325044881576E-2</v>
      </c>
      <c r="G25" s="11" t="str">
        <f t="shared" si="5"/>
        <v>-</v>
      </c>
      <c r="H25" s="11" t="str">
        <f t="shared" si="6"/>
        <v>-</v>
      </c>
      <c r="I25" s="11">
        <f t="shared" si="7"/>
        <v>4.1606214487962562E-2</v>
      </c>
      <c r="J25" s="11">
        <f t="shared" si="8"/>
        <v>3.3170359608532011E-3</v>
      </c>
      <c r="K25" s="11">
        <f t="shared" si="9"/>
        <v>4.492325044881576E-2</v>
      </c>
      <c r="L25" s="13"/>
      <c r="M25" s="13"/>
      <c r="N25" s="13">
        <v>1563446</v>
      </c>
      <c r="O25" s="13">
        <v>124645</v>
      </c>
      <c r="P25" s="13">
        <f t="shared" si="10"/>
        <v>1688091</v>
      </c>
      <c r="Q25" s="14" t="str">
        <f t="shared" si="11"/>
        <v>0</v>
      </c>
      <c r="R25" s="14" t="str">
        <f t="shared" si="11"/>
        <v>0</v>
      </c>
      <c r="S25" s="14">
        <f t="shared" si="11"/>
        <v>2416.6168010752685</v>
      </c>
      <c r="T25" s="14">
        <f t="shared" si="11"/>
        <v>192.66364247311827</v>
      </c>
      <c r="U25" s="14">
        <f t="shared" si="12"/>
        <v>2609.2804435483868</v>
      </c>
      <c r="W25" s="31"/>
    </row>
    <row r="26" spans="1:23" x14ac:dyDescent="0.25">
      <c r="A26" s="30" t="s">
        <v>19</v>
      </c>
      <c r="B26" s="11" t="str">
        <f t="shared" si="0"/>
        <v>-</v>
      </c>
      <c r="C26" s="11" t="str">
        <f t="shared" si="1"/>
        <v>-</v>
      </c>
      <c r="D26" s="11">
        <f t="shared" si="2"/>
        <v>3.6193999753520905E-3</v>
      </c>
      <c r="E26" s="11">
        <f t="shared" si="3"/>
        <v>2.6886233716632013E-3</v>
      </c>
      <c r="F26" s="11">
        <f t="shared" si="4"/>
        <v>6.3080233470152918E-3</v>
      </c>
      <c r="G26" s="11" t="str">
        <f t="shared" si="5"/>
        <v>-</v>
      </c>
      <c r="H26" s="11" t="str">
        <f t="shared" si="6"/>
        <v>-</v>
      </c>
      <c r="I26" s="11">
        <f t="shared" si="7"/>
        <v>3.6193999753520905E-3</v>
      </c>
      <c r="J26" s="11">
        <f t="shared" si="8"/>
        <v>2.6886233716632009E-3</v>
      </c>
      <c r="K26" s="11">
        <f t="shared" si="9"/>
        <v>6.3080233470152909E-3</v>
      </c>
      <c r="L26" s="13"/>
      <c r="M26" s="13"/>
      <c r="N26" s="13">
        <v>136007</v>
      </c>
      <c r="O26" s="13">
        <v>101031</v>
      </c>
      <c r="P26" s="13">
        <f t="shared" si="10"/>
        <v>237038</v>
      </c>
      <c r="Q26" s="14" t="str">
        <f t="shared" si="11"/>
        <v>0</v>
      </c>
      <c r="R26" s="14" t="str">
        <f t="shared" si="11"/>
        <v>0</v>
      </c>
      <c r="S26" s="14">
        <f t="shared" si="11"/>
        <v>210.22587365591397</v>
      </c>
      <c r="T26" s="14">
        <f t="shared" si="11"/>
        <v>156.16350806451609</v>
      </c>
      <c r="U26" s="14">
        <f t="shared" si="12"/>
        <v>366.38938172043004</v>
      </c>
    </row>
    <row r="27" spans="1:23" x14ac:dyDescent="0.25">
      <c r="A27" s="30" t="s">
        <v>20</v>
      </c>
      <c r="B27" s="11" t="str">
        <f t="shared" si="0"/>
        <v>-</v>
      </c>
      <c r="C27" s="11" t="str">
        <f t="shared" si="1"/>
        <v>-</v>
      </c>
      <c r="D27" s="11">
        <f t="shared" si="2"/>
        <v>5.1650969524810282E-3</v>
      </c>
      <c r="E27" s="11" t="str">
        <f t="shared" si="3"/>
        <v>-</v>
      </c>
      <c r="F27" s="11">
        <f t="shared" si="4"/>
        <v>5.1650969524810282E-3</v>
      </c>
      <c r="G27" s="11" t="str">
        <f t="shared" si="5"/>
        <v>-</v>
      </c>
      <c r="H27" s="11" t="str">
        <f t="shared" si="6"/>
        <v>-</v>
      </c>
      <c r="I27" s="11">
        <f t="shared" si="7"/>
        <v>5.1650969524810282E-3</v>
      </c>
      <c r="J27" s="11" t="str">
        <f t="shared" si="8"/>
        <v>-</v>
      </c>
      <c r="K27" s="11">
        <f t="shared" si="9"/>
        <v>5.1650969524810282E-3</v>
      </c>
      <c r="L27" s="13"/>
      <c r="M27" s="13"/>
      <c r="N27" s="13">
        <v>194090</v>
      </c>
      <c r="O27" s="13"/>
      <c r="P27" s="13">
        <f t="shared" si="10"/>
        <v>194090</v>
      </c>
      <c r="Q27" s="14" t="str">
        <f t="shared" si="11"/>
        <v>0</v>
      </c>
      <c r="R27" s="14" t="str">
        <f t="shared" si="11"/>
        <v>0</v>
      </c>
      <c r="S27" s="14">
        <f t="shared" si="11"/>
        <v>300.00470430107526</v>
      </c>
      <c r="T27" s="14" t="str">
        <f t="shared" si="11"/>
        <v>0</v>
      </c>
      <c r="U27" s="14">
        <f t="shared" si="12"/>
        <v>300.00470430107526</v>
      </c>
    </row>
    <row r="28" spans="1:23" x14ac:dyDescent="0.25">
      <c r="A28" s="30" t="s">
        <v>21</v>
      </c>
      <c r="B28" s="11">
        <f t="shared" si="0"/>
        <v>2.2691618270993575E-2</v>
      </c>
      <c r="C28" s="11" t="str">
        <f t="shared" si="1"/>
        <v>-</v>
      </c>
      <c r="D28" s="11">
        <f t="shared" si="2"/>
        <v>5.5469905266815486E-2</v>
      </c>
      <c r="E28" s="11">
        <f t="shared" si="3"/>
        <v>1.6610753806900524E-2</v>
      </c>
      <c r="F28" s="11">
        <f t="shared" si="4"/>
        <v>9.4772277344709582E-2</v>
      </c>
      <c r="G28" s="11">
        <f t="shared" si="5"/>
        <v>2.2691618270993572E-2</v>
      </c>
      <c r="H28" s="11" t="str">
        <f t="shared" si="6"/>
        <v>-</v>
      </c>
      <c r="I28" s="11">
        <f t="shared" si="7"/>
        <v>5.5469905266815486E-2</v>
      </c>
      <c r="J28" s="11">
        <f t="shared" si="8"/>
        <v>1.6610753806900528E-2</v>
      </c>
      <c r="K28" s="11">
        <f t="shared" si="9"/>
        <v>9.4772277344709582E-2</v>
      </c>
      <c r="L28" s="13">
        <v>852688</v>
      </c>
      <c r="M28" s="13"/>
      <c r="N28" s="13">
        <v>2084405</v>
      </c>
      <c r="O28" s="13">
        <v>624186</v>
      </c>
      <c r="P28" s="13">
        <f t="shared" si="10"/>
        <v>3561279</v>
      </c>
      <c r="Q28" s="14">
        <f t="shared" si="11"/>
        <v>1317.9989247311826</v>
      </c>
      <c r="R28" s="14" t="str">
        <f t="shared" si="11"/>
        <v>0</v>
      </c>
      <c r="S28" s="14">
        <f t="shared" si="11"/>
        <v>3221.8625672043008</v>
      </c>
      <c r="T28" s="14">
        <f t="shared" si="11"/>
        <v>964.80362903225807</v>
      </c>
      <c r="U28" s="14">
        <f t="shared" si="12"/>
        <v>5504.6651209677411</v>
      </c>
    </row>
    <row r="29" spans="1:23" x14ac:dyDescent="0.25">
      <c r="A29" s="30" t="s">
        <v>22</v>
      </c>
      <c r="B29" s="11" t="str">
        <f t="shared" si="0"/>
        <v>-</v>
      </c>
      <c r="C29" s="11" t="str">
        <f t="shared" si="1"/>
        <v>-</v>
      </c>
      <c r="D29" s="11">
        <f t="shared" si="2"/>
        <v>1.5763086058807486E-2</v>
      </c>
      <c r="E29" s="11">
        <f t="shared" si="3"/>
        <v>2.1666183262131957E-2</v>
      </c>
      <c r="F29" s="11">
        <f t="shared" si="4"/>
        <v>3.7429269320939443E-2</v>
      </c>
      <c r="G29" s="11" t="str">
        <f t="shared" si="5"/>
        <v>-</v>
      </c>
      <c r="H29" s="11" t="str">
        <f t="shared" si="6"/>
        <v>-</v>
      </c>
      <c r="I29" s="11">
        <f t="shared" si="7"/>
        <v>1.5763086058807486E-2</v>
      </c>
      <c r="J29" s="11">
        <f t="shared" si="8"/>
        <v>2.1666183262131957E-2</v>
      </c>
      <c r="K29" s="11">
        <f t="shared" si="9"/>
        <v>3.7429269320939443E-2</v>
      </c>
      <c r="L29" s="13"/>
      <c r="M29" s="13"/>
      <c r="N29" s="13">
        <v>592333</v>
      </c>
      <c r="O29" s="13">
        <v>814155</v>
      </c>
      <c r="P29" s="13">
        <f t="shared" si="10"/>
        <v>1406488</v>
      </c>
      <c r="Q29" s="14" t="str">
        <f t="shared" si="11"/>
        <v>0</v>
      </c>
      <c r="R29" s="14" t="str">
        <f t="shared" si="11"/>
        <v>0</v>
      </c>
      <c r="S29" s="14">
        <f t="shared" si="11"/>
        <v>915.56848118279561</v>
      </c>
      <c r="T29" s="14">
        <f t="shared" si="11"/>
        <v>1258.4385080645161</v>
      </c>
      <c r="U29" s="14">
        <f t="shared" si="12"/>
        <v>2174.0069892473116</v>
      </c>
    </row>
    <row r="30" spans="1:23" x14ac:dyDescent="0.25">
      <c r="A30" s="30" t="s">
        <v>23</v>
      </c>
      <c r="B30" s="11" t="str">
        <f t="shared" si="0"/>
        <v>-</v>
      </c>
      <c r="C30" s="11" t="str">
        <f t="shared" si="1"/>
        <v>-</v>
      </c>
      <c r="D30" s="11">
        <f t="shared" si="2"/>
        <v>9.4418898384268581E-4</v>
      </c>
      <c r="E30" s="11">
        <f t="shared" si="3"/>
        <v>1.4850751477830067E-3</v>
      </c>
      <c r="F30" s="11">
        <f t="shared" si="4"/>
        <v>2.4292641316256925E-3</v>
      </c>
      <c r="G30" s="11" t="str">
        <f t="shared" si="5"/>
        <v>-</v>
      </c>
      <c r="H30" s="11" t="str">
        <f t="shared" si="6"/>
        <v>-</v>
      </c>
      <c r="I30" s="11">
        <f t="shared" si="7"/>
        <v>9.441889838426857E-4</v>
      </c>
      <c r="J30" s="11">
        <f t="shared" si="8"/>
        <v>1.4850751477830067E-3</v>
      </c>
      <c r="K30" s="11">
        <f t="shared" si="9"/>
        <v>2.4292641316256925E-3</v>
      </c>
      <c r="L30" s="13"/>
      <c r="M30" s="13"/>
      <c r="N30" s="13">
        <f>17340+18140</f>
        <v>35480</v>
      </c>
      <c r="O30" s="13">
        <v>55805</v>
      </c>
      <c r="P30" s="13">
        <f t="shared" si="10"/>
        <v>91285</v>
      </c>
      <c r="Q30" s="14" t="str">
        <f t="shared" si="11"/>
        <v>0</v>
      </c>
      <c r="R30" s="14" t="str">
        <f t="shared" si="11"/>
        <v>0</v>
      </c>
      <c r="S30" s="14">
        <f t="shared" si="11"/>
        <v>54.841397849462361</v>
      </c>
      <c r="T30" s="14">
        <f t="shared" si="11"/>
        <v>86.257728494623649</v>
      </c>
      <c r="U30" s="14">
        <f t="shared" si="12"/>
        <v>141.09912634408602</v>
      </c>
    </row>
    <row r="31" spans="1:23" x14ac:dyDescent="0.25">
      <c r="A31" s="30" t="s">
        <v>24</v>
      </c>
      <c r="B31" s="11">
        <f t="shared" si="0"/>
        <v>1.0729638004383667E-2</v>
      </c>
      <c r="C31" s="11" t="str">
        <f t="shared" si="1"/>
        <v>-</v>
      </c>
      <c r="D31" s="11">
        <f t="shared" si="2"/>
        <v>2.0612513064097365E-2</v>
      </c>
      <c r="E31" s="11">
        <f t="shared" si="3"/>
        <v>3.9362408446201574E-3</v>
      </c>
      <c r="F31" s="11">
        <f t="shared" si="4"/>
        <v>3.5278391913101191E-2</v>
      </c>
      <c r="G31" s="11">
        <f t="shared" si="5"/>
        <v>1.0729638004383665E-2</v>
      </c>
      <c r="H31" s="11" t="str">
        <f t="shared" si="6"/>
        <v>-</v>
      </c>
      <c r="I31" s="11">
        <f t="shared" si="7"/>
        <v>2.0612513064097365E-2</v>
      </c>
      <c r="J31" s="11">
        <f t="shared" si="8"/>
        <v>3.9362408446201574E-3</v>
      </c>
      <c r="K31" s="11">
        <f t="shared" si="9"/>
        <v>3.5278391913101191E-2</v>
      </c>
      <c r="L31" s="13">
        <v>403190</v>
      </c>
      <c r="M31" s="13"/>
      <c r="N31" s="13">
        <v>774561</v>
      </c>
      <c r="O31" s="13">
        <v>147913</v>
      </c>
      <c r="P31" s="13">
        <f t="shared" si="10"/>
        <v>1325664</v>
      </c>
      <c r="Q31" s="14">
        <f t="shared" si="11"/>
        <v>623.21034946236546</v>
      </c>
      <c r="R31" s="14" t="str">
        <f t="shared" si="11"/>
        <v>0</v>
      </c>
      <c r="S31" s="14">
        <f t="shared" si="11"/>
        <v>1197.2381048387097</v>
      </c>
      <c r="T31" s="14">
        <f t="shared" si="11"/>
        <v>228.62896505376344</v>
      </c>
      <c r="U31" s="14">
        <f t="shared" si="12"/>
        <v>2049.0774193548386</v>
      </c>
    </row>
    <row r="32" spans="1:23" x14ac:dyDescent="0.25">
      <c r="A32" s="30" t="s">
        <v>56</v>
      </c>
      <c r="B32" s="11">
        <f t="shared" si="0"/>
        <v>6.9890209822050979E-3</v>
      </c>
      <c r="C32" s="11" t="str">
        <f t="shared" si="1"/>
        <v>-</v>
      </c>
      <c r="D32" s="11">
        <f t="shared" si="2"/>
        <v>3.7854926107764801E-2</v>
      </c>
      <c r="E32" s="11">
        <f t="shared" si="3"/>
        <v>1.530581437590532E-3</v>
      </c>
      <c r="F32" s="11">
        <f t="shared" si="4"/>
        <v>4.6374528527560431E-2</v>
      </c>
      <c r="G32" s="11">
        <f t="shared" si="5"/>
        <v>6.9890209822050988E-3</v>
      </c>
      <c r="H32" s="11" t="str">
        <f t="shared" si="6"/>
        <v>-</v>
      </c>
      <c r="I32" s="11">
        <f t="shared" si="7"/>
        <v>3.7854926107764801E-2</v>
      </c>
      <c r="J32" s="11">
        <f t="shared" si="8"/>
        <v>1.530581437590532E-3</v>
      </c>
      <c r="K32" s="11">
        <f t="shared" si="9"/>
        <v>4.6374528527560431E-2</v>
      </c>
      <c r="L32" s="13">
        <v>262628</v>
      </c>
      <c r="M32" s="13"/>
      <c r="N32" s="13">
        <v>1422483</v>
      </c>
      <c r="O32" s="13">
        <v>57515</v>
      </c>
      <c r="P32" s="13">
        <f t="shared" si="10"/>
        <v>1742626</v>
      </c>
      <c r="Q32" s="14">
        <f t="shared" si="11"/>
        <v>405.94381720430107</v>
      </c>
      <c r="R32" s="14" t="str">
        <f t="shared" si="11"/>
        <v>0</v>
      </c>
      <c r="S32" s="14">
        <f t="shared" si="11"/>
        <v>2198.730443548387</v>
      </c>
      <c r="T32" s="14">
        <f t="shared" si="11"/>
        <v>88.900873655913983</v>
      </c>
      <c r="U32" s="14">
        <f t="shared" si="12"/>
        <v>2693.575134408602</v>
      </c>
    </row>
    <row r="33" spans="1:21" x14ac:dyDescent="0.25">
      <c r="A33" s="30" t="s">
        <v>25</v>
      </c>
      <c r="B33" s="11" t="str">
        <f t="shared" si="0"/>
        <v>-</v>
      </c>
      <c r="C33" s="11" t="str">
        <f t="shared" si="1"/>
        <v>-</v>
      </c>
      <c r="D33" s="11">
        <f t="shared" si="2"/>
        <v>4.8133679276938582E-3</v>
      </c>
      <c r="E33" s="11">
        <f t="shared" si="3"/>
        <v>6.3610341828612511E-3</v>
      </c>
      <c r="F33" s="11">
        <f t="shared" si="4"/>
        <v>1.117440211055511E-2</v>
      </c>
      <c r="G33" s="11" t="str">
        <f t="shared" si="5"/>
        <v>-</v>
      </c>
      <c r="H33" s="11" t="str">
        <f t="shared" si="6"/>
        <v>-</v>
      </c>
      <c r="I33" s="11">
        <f t="shared" si="7"/>
        <v>4.8133679276938582E-3</v>
      </c>
      <c r="J33" s="11">
        <f t="shared" si="8"/>
        <v>6.3610341828612502E-3</v>
      </c>
      <c r="K33" s="11">
        <f t="shared" si="9"/>
        <v>1.1174402110555108E-2</v>
      </c>
      <c r="L33" s="13"/>
      <c r="M33" s="13"/>
      <c r="N33" s="13">
        <v>180873</v>
      </c>
      <c r="O33" s="13">
        <v>239030</v>
      </c>
      <c r="P33" s="13">
        <f t="shared" si="10"/>
        <v>419903</v>
      </c>
      <c r="Q33" s="14" t="str">
        <f t="shared" si="11"/>
        <v>0</v>
      </c>
      <c r="R33" s="14" t="str">
        <f t="shared" si="11"/>
        <v>0</v>
      </c>
      <c r="S33" s="14">
        <f t="shared" si="11"/>
        <v>279.57520161290319</v>
      </c>
      <c r="T33" s="14">
        <f t="shared" si="11"/>
        <v>369.46841397849454</v>
      </c>
      <c r="U33" s="14">
        <f t="shared" si="12"/>
        <v>649.04361559139772</v>
      </c>
    </row>
    <row r="34" spans="1:21" x14ac:dyDescent="0.25">
      <c r="A34" s="30" t="s">
        <v>31</v>
      </c>
      <c r="B34" s="11">
        <f t="shared" si="0"/>
        <v>2.0465695402770982E-2</v>
      </c>
      <c r="C34" s="11" t="str">
        <f t="shared" si="1"/>
        <v>-</v>
      </c>
      <c r="D34" s="11">
        <f t="shared" si="2"/>
        <v>1.4022962793179262E-2</v>
      </c>
      <c r="E34" s="11">
        <f t="shared" si="3"/>
        <v>1.4901846259368341E-2</v>
      </c>
      <c r="F34" s="11">
        <f t="shared" si="4"/>
        <v>4.9390504455318583E-2</v>
      </c>
      <c r="G34" s="11">
        <f t="shared" si="5"/>
        <v>2.0465695402770982E-2</v>
      </c>
      <c r="H34" s="11" t="str">
        <f t="shared" si="6"/>
        <v>-</v>
      </c>
      <c r="I34" s="11">
        <f t="shared" si="7"/>
        <v>1.402296279317926E-2</v>
      </c>
      <c r="J34" s="11">
        <f t="shared" si="8"/>
        <v>1.4901846259368341E-2</v>
      </c>
      <c r="K34" s="11">
        <f t="shared" si="9"/>
        <v>4.9390504455318583E-2</v>
      </c>
      <c r="L34" s="13">
        <f>149904+619140</f>
        <v>769044</v>
      </c>
      <c r="M34" s="13"/>
      <c r="N34" s="13">
        <v>526944</v>
      </c>
      <c r="O34" s="13">
        <v>559970</v>
      </c>
      <c r="P34" s="13">
        <f t="shared" si="10"/>
        <v>1855958</v>
      </c>
      <c r="Q34" s="14">
        <f t="shared" si="11"/>
        <v>1188.7104838709677</v>
      </c>
      <c r="R34" s="14" t="str">
        <f t="shared" si="11"/>
        <v>0</v>
      </c>
      <c r="S34" s="14">
        <f t="shared" si="11"/>
        <v>814.49677419354828</v>
      </c>
      <c r="T34" s="14">
        <f t="shared" si="11"/>
        <v>865.54502688172033</v>
      </c>
      <c r="U34" s="14">
        <f t="shared" si="12"/>
        <v>2868.7522849462362</v>
      </c>
    </row>
    <row r="35" spans="1:21" x14ac:dyDescent="0.25">
      <c r="A35" s="30" t="s">
        <v>26</v>
      </c>
      <c r="B35" s="11" t="str">
        <f t="shared" si="0"/>
        <v>-</v>
      </c>
      <c r="C35" s="11" t="str">
        <f t="shared" si="1"/>
        <v>-</v>
      </c>
      <c r="D35" s="11">
        <f t="shared" si="2"/>
        <v>1.4836141563733968E-2</v>
      </c>
      <c r="E35" s="11">
        <f t="shared" si="3"/>
        <v>1.2064169829686456E-2</v>
      </c>
      <c r="F35" s="11">
        <f t="shared" si="4"/>
        <v>2.6900311393420424E-2</v>
      </c>
      <c r="G35" s="11" t="str">
        <f t="shared" si="5"/>
        <v>-</v>
      </c>
      <c r="H35" s="11" t="str">
        <f t="shared" si="6"/>
        <v>-</v>
      </c>
      <c r="I35" s="11">
        <f t="shared" si="7"/>
        <v>1.4836141563733968E-2</v>
      </c>
      <c r="J35" s="11">
        <f t="shared" si="8"/>
        <v>1.2064169829686456E-2</v>
      </c>
      <c r="K35" s="11">
        <f t="shared" si="9"/>
        <v>2.6900311393420428E-2</v>
      </c>
      <c r="L35" s="13"/>
      <c r="M35" s="13"/>
      <c r="N35" s="13">
        <v>557501</v>
      </c>
      <c r="O35" s="13">
        <v>453338</v>
      </c>
      <c r="P35" s="13">
        <f t="shared" si="10"/>
        <v>1010839</v>
      </c>
      <c r="Q35" s="14" t="str">
        <f t="shared" si="11"/>
        <v>0</v>
      </c>
      <c r="R35" s="14" t="str">
        <f t="shared" si="11"/>
        <v>0</v>
      </c>
      <c r="S35" s="14">
        <f t="shared" si="11"/>
        <v>861.72869623655913</v>
      </c>
      <c r="T35" s="14">
        <f t="shared" si="11"/>
        <v>700.72405913978491</v>
      </c>
      <c r="U35" s="14">
        <f t="shared" si="12"/>
        <v>1562.4527553763442</v>
      </c>
    </row>
    <row r="36" spans="1:21" x14ac:dyDescent="0.25">
      <c r="A36" s="30" t="s">
        <v>55</v>
      </c>
      <c r="B36" s="11" t="str">
        <f t="shared" si="0"/>
        <v>-</v>
      </c>
      <c r="C36" s="11" t="str">
        <f t="shared" si="1"/>
        <v>-</v>
      </c>
      <c r="D36" s="11">
        <f t="shared" si="2"/>
        <v>7.0601278865125292E-4</v>
      </c>
      <c r="E36" s="11">
        <f t="shared" si="3"/>
        <v>2.884726207681712E-4</v>
      </c>
      <c r="F36" s="11">
        <f t="shared" si="4"/>
        <v>9.9448540941942417E-4</v>
      </c>
      <c r="G36" s="11" t="str">
        <f t="shared" si="5"/>
        <v>-</v>
      </c>
      <c r="H36" s="11" t="str">
        <f t="shared" si="6"/>
        <v>-</v>
      </c>
      <c r="I36" s="11">
        <f t="shared" si="7"/>
        <v>7.0601278865125281E-4</v>
      </c>
      <c r="J36" s="11">
        <f t="shared" si="8"/>
        <v>2.884726207681712E-4</v>
      </c>
      <c r="K36" s="11">
        <f t="shared" si="9"/>
        <v>9.9448540941942396E-4</v>
      </c>
      <c r="L36" s="13"/>
      <c r="M36" s="13"/>
      <c r="N36" s="13">
        <v>26530</v>
      </c>
      <c r="O36" s="13">
        <v>10840</v>
      </c>
      <c r="P36" s="13">
        <f t="shared" si="10"/>
        <v>37370</v>
      </c>
      <c r="Q36" s="14" t="str">
        <f t="shared" si="11"/>
        <v>0</v>
      </c>
      <c r="R36" s="14" t="str">
        <f t="shared" si="11"/>
        <v>0</v>
      </c>
      <c r="S36" s="14">
        <f t="shared" si="11"/>
        <v>41.007392473118273</v>
      </c>
      <c r="T36" s="14">
        <f t="shared" si="11"/>
        <v>16.75537634408602</v>
      </c>
      <c r="U36" s="14">
        <f t="shared" si="12"/>
        <v>57.762768817204289</v>
      </c>
    </row>
    <row r="37" spans="1:21" x14ac:dyDescent="0.25">
      <c r="A37" s="30" t="s">
        <v>27</v>
      </c>
      <c r="B37" s="11" t="str">
        <f t="shared" si="0"/>
        <v>-</v>
      </c>
      <c r="C37" s="11" t="str">
        <f t="shared" si="1"/>
        <v>-</v>
      </c>
      <c r="D37" s="11">
        <f t="shared" si="2"/>
        <v>1.434086813706271E-3</v>
      </c>
      <c r="E37" s="11">
        <f t="shared" si="3"/>
        <v>4.7837489215208908E-3</v>
      </c>
      <c r="F37" s="11">
        <f t="shared" si="4"/>
        <v>6.2178357352271618E-3</v>
      </c>
      <c r="G37" s="11" t="str">
        <f t="shared" si="5"/>
        <v>-</v>
      </c>
      <c r="H37" s="11" t="str">
        <f t="shared" si="6"/>
        <v>-</v>
      </c>
      <c r="I37" s="11">
        <f t="shared" si="7"/>
        <v>1.434086813706271E-3</v>
      </c>
      <c r="J37" s="11">
        <f t="shared" si="8"/>
        <v>4.7837489215208908E-3</v>
      </c>
      <c r="K37" s="11">
        <f t="shared" si="9"/>
        <v>6.2178357352271618E-3</v>
      </c>
      <c r="L37" s="13"/>
      <c r="M37" s="13"/>
      <c r="N37" s="13">
        <v>53889</v>
      </c>
      <c r="O37" s="13">
        <v>179760</v>
      </c>
      <c r="P37" s="13">
        <f t="shared" si="10"/>
        <v>233649</v>
      </c>
      <c r="Q37" s="14" t="str">
        <f t="shared" si="11"/>
        <v>0</v>
      </c>
      <c r="R37" s="14" t="str">
        <f t="shared" si="11"/>
        <v>0</v>
      </c>
      <c r="S37" s="14">
        <f t="shared" si="11"/>
        <v>83.29616935483871</v>
      </c>
      <c r="T37" s="14">
        <f t="shared" si="11"/>
        <v>277.85483870967744</v>
      </c>
      <c r="U37" s="14">
        <f t="shared" si="12"/>
        <v>361.15100806451613</v>
      </c>
    </row>
    <row r="38" spans="1:21" x14ac:dyDescent="0.25">
      <c r="A38" s="30" t="s">
        <v>32</v>
      </c>
      <c r="B38" s="11" t="str">
        <f t="shared" si="0"/>
        <v>-</v>
      </c>
      <c r="C38" s="11" t="str">
        <f t="shared" si="1"/>
        <v>-</v>
      </c>
      <c r="D38" s="11">
        <f t="shared" si="2"/>
        <v>3.341678548199264E-3</v>
      </c>
      <c r="E38" s="11">
        <f t="shared" si="3"/>
        <v>1.829485909589434E-3</v>
      </c>
      <c r="F38" s="11">
        <f t="shared" si="4"/>
        <v>5.1711644577886982E-3</v>
      </c>
      <c r="G38" s="11" t="str">
        <f t="shared" si="5"/>
        <v>-</v>
      </c>
      <c r="H38" s="11" t="str">
        <f t="shared" si="6"/>
        <v>-</v>
      </c>
      <c r="I38" s="11">
        <f t="shared" si="7"/>
        <v>3.3416785481992645E-3</v>
      </c>
      <c r="J38" s="11">
        <f t="shared" si="8"/>
        <v>1.8294859095894342E-3</v>
      </c>
      <c r="K38" s="11">
        <f t="shared" si="9"/>
        <v>5.1711644577886991E-3</v>
      </c>
      <c r="L38" s="13"/>
      <c r="M38" s="13"/>
      <c r="N38" s="13">
        <v>125571</v>
      </c>
      <c r="O38" s="13">
        <v>68747</v>
      </c>
      <c r="P38" s="13">
        <f t="shared" si="10"/>
        <v>194318</v>
      </c>
      <c r="Q38" s="14" t="str">
        <f t="shared" si="11"/>
        <v>0</v>
      </c>
      <c r="R38" s="14" t="str">
        <f t="shared" si="11"/>
        <v>0</v>
      </c>
      <c r="S38" s="14">
        <f t="shared" si="11"/>
        <v>194.09495967741935</v>
      </c>
      <c r="T38" s="14">
        <f t="shared" si="11"/>
        <v>106.26216397849463</v>
      </c>
      <c r="U38" s="14">
        <f t="shared" si="12"/>
        <v>300.35712365591399</v>
      </c>
    </row>
    <row r="39" spans="1:21" x14ac:dyDescent="0.25">
      <c r="A39" s="30" t="s">
        <v>28</v>
      </c>
      <c r="B39" s="11" t="str">
        <f t="shared" si="0"/>
        <v>-</v>
      </c>
      <c r="C39" s="11" t="str">
        <f t="shared" si="1"/>
        <v>-</v>
      </c>
      <c r="D39" s="11">
        <f t="shared" si="2"/>
        <v>8.5715753928915922E-3</v>
      </c>
      <c r="E39" s="11">
        <f t="shared" si="3"/>
        <v>1.3235304801528309E-2</v>
      </c>
      <c r="F39" s="11">
        <f t="shared" si="4"/>
        <v>2.1806880194419901E-2</v>
      </c>
      <c r="G39" s="11" t="str">
        <f t="shared" si="5"/>
        <v>-</v>
      </c>
      <c r="H39" s="11" t="str">
        <f t="shared" si="6"/>
        <v>-</v>
      </c>
      <c r="I39" s="11">
        <f t="shared" si="7"/>
        <v>8.5715753928915922E-3</v>
      </c>
      <c r="J39" s="11">
        <f t="shared" si="8"/>
        <v>1.3235304801528309E-2</v>
      </c>
      <c r="K39" s="11">
        <f t="shared" si="9"/>
        <v>2.1806880194419901E-2</v>
      </c>
      <c r="L39" s="13"/>
      <c r="M39" s="13"/>
      <c r="N39" s="13">
        <v>322096</v>
      </c>
      <c r="O39" s="13">
        <v>497346</v>
      </c>
      <c r="P39" s="13">
        <f t="shared" si="10"/>
        <v>819442</v>
      </c>
      <c r="Q39" s="14" t="str">
        <f t="shared" si="11"/>
        <v>0</v>
      </c>
      <c r="R39" s="14" t="str">
        <f t="shared" si="11"/>
        <v>0</v>
      </c>
      <c r="S39" s="14">
        <f t="shared" si="11"/>
        <v>497.86344086021501</v>
      </c>
      <c r="T39" s="14">
        <f t="shared" si="11"/>
        <v>768.74717741935478</v>
      </c>
      <c r="U39" s="14">
        <f t="shared" si="12"/>
        <v>1266.6106182795697</v>
      </c>
    </row>
    <row r="40" spans="1:21" x14ac:dyDescent="0.25">
      <c r="A40" s="32" t="s">
        <v>0</v>
      </c>
      <c r="B40" s="11">
        <f t="shared" ref="B40:O40" si="13">SUM(B8:B39)</f>
        <v>0.13844916107824146</v>
      </c>
      <c r="C40" s="11">
        <f t="shared" si="13"/>
        <v>1.3098040799874967E-2</v>
      </c>
      <c r="D40" s="11">
        <f t="shared" si="13"/>
        <v>0.54919156745563635</v>
      </c>
      <c r="E40" s="11">
        <f t="shared" si="13"/>
        <v>0.29926123066624694</v>
      </c>
      <c r="F40" s="11">
        <f t="shared" si="13"/>
        <v>1</v>
      </c>
      <c r="G40" s="11">
        <f t="shared" si="13"/>
        <v>0.13844916107824146</v>
      </c>
      <c r="H40" s="11">
        <f t="shared" si="13"/>
        <v>1.3098040799874965E-2</v>
      </c>
      <c r="I40" s="11">
        <f t="shared" si="13"/>
        <v>0.54919156745563635</v>
      </c>
      <c r="J40" s="11">
        <f t="shared" si="13"/>
        <v>0.29926123066624694</v>
      </c>
      <c r="K40" s="11">
        <f t="shared" si="13"/>
        <v>1</v>
      </c>
      <c r="L40" s="13">
        <f t="shared" si="13"/>
        <v>5202535</v>
      </c>
      <c r="M40" s="13">
        <f t="shared" si="13"/>
        <v>492188</v>
      </c>
      <c r="N40" s="13">
        <f t="shared" si="13"/>
        <v>20637094</v>
      </c>
      <c r="O40" s="13">
        <f t="shared" si="13"/>
        <v>11245406</v>
      </c>
      <c r="P40" s="13">
        <f>SUM(L40:O40)</f>
        <v>37577223</v>
      </c>
      <c r="Q40" s="14">
        <f t="shared" si="11"/>
        <v>8041.5527553763432</v>
      </c>
      <c r="R40" s="14">
        <f t="shared" si="11"/>
        <v>760.77446236559126</v>
      </c>
      <c r="S40" s="14">
        <f t="shared" si="11"/>
        <v>31898.734005376344</v>
      </c>
      <c r="T40" s="14">
        <f t="shared" si="11"/>
        <v>17382.011962365588</v>
      </c>
      <c r="U40" s="14">
        <f t="shared" si="12"/>
        <v>58083.073185483867</v>
      </c>
    </row>
    <row r="41" spans="1:21" x14ac:dyDescent="0.25">
      <c r="Q41" s="14" t="str">
        <f t="shared" si="11"/>
        <v>0</v>
      </c>
      <c r="R41" s="14" t="str">
        <f t="shared" si="11"/>
        <v>0</v>
      </c>
      <c r="S41" s="14" t="str">
        <f t="shared" si="11"/>
        <v>0</v>
      </c>
      <c r="T41" s="14" t="str">
        <f t="shared" si="11"/>
        <v>0</v>
      </c>
      <c r="U41" s="14">
        <f t="shared" si="12"/>
        <v>0</v>
      </c>
    </row>
    <row r="42" spans="1:21" x14ac:dyDescent="0.25">
      <c r="A42" s="26" t="s">
        <v>46</v>
      </c>
      <c r="B42" s="6" t="s">
        <v>78</v>
      </c>
      <c r="Q42" s="6"/>
      <c r="R42" s="6"/>
      <c r="S42" s="6"/>
      <c r="T42" s="6"/>
      <c r="U42" s="6"/>
    </row>
    <row r="43" spans="1:21" x14ac:dyDescent="0.25">
      <c r="A43" s="26"/>
      <c r="B43" s="6" t="s">
        <v>79</v>
      </c>
      <c r="Q43" s="6"/>
      <c r="R43" s="6"/>
      <c r="S43" s="6"/>
      <c r="T43" s="6"/>
      <c r="U43" s="6"/>
    </row>
    <row r="44" spans="1:21" x14ac:dyDescent="0.25">
      <c r="B44" s="6" t="s">
        <v>88</v>
      </c>
      <c r="Q44" s="6"/>
      <c r="R44" s="6"/>
      <c r="S44" s="6"/>
      <c r="T44" s="6"/>
      <c r="U44" s="6"/>
    </row>
    <row r="45" spans="1:21" x14ac:dyDescent="0.25">
      <c r="B45" s="6" t="s">
        <v>89</v>
      </c>
      <c r="Q45" s="14" t="str">
        <f t="shared" ref="Q45:T45" si="14">IF(L45/744*1.15=0,"0",L45/744*1.15)</f>
        <v>0</v>
      </c>
      <c r="R45" s="14" t="str">
        <f t="shared" si="14"/>
        <v>0</v>
      </c>
      <c r="S45" s="14" t="str">
        <f t="shared" si="14"/>
        <v>0</v>
      </c>
      <c r="T45" s="14" t="str">
        <f t="shared" si="14"/>
        <v>0</v>
      </c>
      <c r="U45" s="14">
        <f t="shared" ref="U45" si="15">Q45+R45+S45+T45</f>
        <v>0</v>
      </c>
    </row>
    <row r="49" spans="1:257" x14ac:dyDescent="0.25">
      <c r="Q49" s="6"/>
      <c r="R49" s="6"/>
      <c r="S49" s="6"/>
      <c r="T49" s="6"/>
      <c r="U49" s="6"/>
    </row>
    <row r="50" spans="1:257" ht="15.75" x14ac:dyDescent="0.25">
      <c r="A50" s="34" t="s">
        <v>76</v>
      </c>
      <c r="B50" s="35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6"/>
      <c r="DL50" s="36"/>
      <c r="DM50" s="36"/>
      <c r="DN50" s="36"/>
      <c r="DO50" s="36"/>
      <c r="DP50" s="36"/>
      <c r="DQ50" s="36"/>
      <c r="DR50" s="36"/>
      <c r="DS50" s="36"/>
      <c r="DT50" s="36"/>
      <c r="DU50" s="36"/>
      <c r="DV50" s="36"/>
      <c r="DW50" s="36"/>
      <c r="DX50" s="36"/>
      <c r="DY50" s="36"/>
      <c r="DZ50" s="36"/>
      <c r="EA50" s="36"/>
      <c r="EB50" s="36"/>
      <c r="EC50" s="36"/>
      <c r="ED50" s="36"/>
      <c r="EE50" s="36"/>
      <c r="EF50" s="36"/>
      <c r="EG50" s="36"/>
      <c r="EH50" s="36"/>
      <c r="EI50" s="36"/>
      <c r="EJ50" s="36"/>
      <c r="EK50" s="36"/>
      <c r="EL50" s="36"/>
      <c r="EM50" s="36"/>
      <c r="EN50" s="36"/>
      <c r="EO50" s="36"/>
      <c r="EP50" s="36"/>
      <c r="EQ50" s="36"/>
      <c r="ER50" s="36"/>
      <c r="ES50" s="36"/>
      <c r="ET50" s="36"/>
      <c r="EU50" s="36"/>
      <c r="EV50" s="36"/>
      <c r="EW50" s="36"/>
      <c r="EX50" s="36"/>
      <c r="EY50" s="36"/>
      <c r="EZ50" s="36"/>
      <c r="FA50" s="36"/>
      <c r="FB50" s="36"/>
      <c r="FC50" s="36"/>
      <c r="FD50" s="36"/>
      <c r="FE50" s="36"/>
      <c r="FF50" s="36"/>
      <c r="FG50" s="36"/>
      <c r="FH50" s="36"/>
      <c r="FI50" s="36"/>
      <c r="FJ50" s="36"/>
      <c r="FK50" s="36"/>
      <c r="FL50" s="36"/>
      <c r="FM50" s="36"/>
      <c r="FN50" s="36"/>
      <c r="FO50" s="36"/>
      <c r="FP50" s="36"/>
      <c r="FQ50" s="36"/>
      <c r="FR50" s="36"/>
      <c r="FS50" s="36"/>
      <c r="FT50" s="36"/>
      <c r="FU50" s="36"/>
      <c r="FV50" s="36"/>
      <c r="FW50" s="36"/>
      <c r="FX50" s="36"/>
      <c r="FY50" s="36"/>
      <c r="FZ50" s="36"/>
      <c r="GA50" s="36"/>
      <c r="GB50" s="36"/>
      <c r="GC50" s="36"/>
      <c r="GD50" s="36"/>
      <c r="GE50" s="36"/>
      <c r="GF50" s="36"/>
      <c r="GG50" s="36"/>
      <c r="GH50" s="36"/>
      <c r="GI50" s="36"/>
      <c r="GJ50" s="36"/>
      <c r="GK50" s="36"/>
      <c r="GL50" s="36"/>
      <c r="GM50" s="36"/>
      <c r="GN50" s="36"/>
      <c r="GO50" s="36"/>
      <c r="GP50" s="36"/>
      <c r="GQ50" s="36"/>
      <c r="GR50" s="36"/>
      <c r="GS50" s="36"/>
      <c r="GT50" s="36"/>
      <c r="GU50" s="36"/>
      <c r="GV50" s="36"/>
      <c r="GW50" s="36"/>
      <c r="GX50" s="36"/>
      <c r="GY50" s="36"/>
      <c r="GZ50" s="36"/>
      <c r="HA50" s="36"/>
      <c r="HB50" s="36"/>
      <c r="HC50" s="36"/>
      <c r="HD50" s="36"/>
      <c r="HE50" s="36"/>
      <c r="HF50" s="36"/>
      <c r="HG50" s="36"/>
      <c r="HH50" s="36"/>
      <c r="HI50" s="36"/>
      <c r="HJ50" s="36"/>
      <c r="HK50" s="36"/>
      <c r="HL50" s="36"/>
      <c r="HM50" s="36"/>
      <c r="HN50" s="36"/>
      <c r="HO50" s="36"/>
      <c r="HP50" s="36"/>
      <c r="HQ50" s="36"/>
      <c r="HR50" s="36"/>
      <c r="HS50" s="36"/>
      <c r="HT50" s="36"/>
      <c r="HU50" s="36"/>
      <c r="HV50" s="36"/>
      <c r="HW50" s="36"/>
      <c r="HX50" s="36"/>
      <c r="HY50" s="36"/>
      <c r="HZ50" s="36"/>
      <c r="IA50" s="36"/>
      <c r="IB50" s="36"/>
      <c r="IC50" s="36"/>
      <c r="ID50" s="36"/>
      <c r="IE50" s="36"/>
      <c r="IF50" s="36"/>
      <c r="IG50" s="36"/>
      <c r="IH50" s="36"/>
      <c r="II50" s="36"/>
      <c r="IJ50" s="36"/>
      <c r="IK50" s="36"/>
      <c r="IL50" s="36"/>
      <c r="IM50" s="36"/>
      <c r="IN50" s="36"/>
      <c r="IO50" s="36"/>
      <c r="IP50" s="36"/>
      <c r="IQ50" s="36"/>
      <c r="IR50" s="36"/>
      <c r="IS50" s="36"/>
      <c r="IT50" s="36"/>
      <c r="IU50" s="36"/>
      <c r="IV50" s="36"/>
      <c r="IW50" s="36"/>
    </row>
    <row r="51" spans="1:257" ht="15.75" x14ac:dyDescent="0.25">
      <c r="A51" s="34"/>
      <c r="B51" s="35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  <c r="IV51" s="36"/>
      <c r="IW51" s="36"/>
    </row>
    <row r="52" spans="1:257" ht="15.75" x14ac:dyDescent="0.25">
      <c r="A52" s="34" t="s">
        <v>77</v>
      </c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  <c r="IK52" s="36"/>
      <c r="IL52" s="36"/>
      <c r="IM52" s="36"/>
      <c r="IN52" s="36"/>
      <c r="IO52" s="36"/>
      <c r="IP52" s="36"/>
      <c r="IQ52" s="36"/>
      <c r="IR52" s="36"/>
      <c r="IS52" s="36"/>
      <c r="IT52" s="36"/>
      <c r="IU52" s="36"/>
      <c r="IV52" s="36"/>
      <c r="IW52" s="36"/>
    </row>
  </sheetData>
  <mergeCells count="7">
    <mergeCell ref="Q5:U6"/>
    <mergeCell ref="A2:K2"/>
    <mergeCell ref="A3:K3"/>
    <mergeCell ref="A5:A6"/>
    <mergeCell ref="B5:F6"/>
    <mergeCell ref="G5:K6"/>
    <mergeCell ref="L5:P6"/>
  </mergeCells>
  <pageMargins left="0.7" right="0.7" top="0.75" bottom="0.75" header="0.3" footer="0.3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W53"/>
  <sheetViews>
    <sheetView view="pageBreakPreview" topLeftCell="A19" zoomScaleNormal="100" zoomScaleSheetLayoutView="100" workbookViewId="0">
      <selection activeCell="K40" sqref="K1:AB1048576"/>
    </sheetView>
  </sheetViews>
  <sheetFormatPr defaultRowHeight="15" x14ac:dyDescent="0.25"/>
  <cols>
    <col min="1" max="1" width="38" style="6" customWidth="1"/>
    <col min="2" max="13" width="9.140625" style="6" customWidth="1"/>
    <col min="14" max="14" width="9.85546875" style="6" customWidth="1"/>
    <col min="15" max="15" width="10.140625" style="6" customWidth="1"/>
    <col min="16" max="16" width="10" style="6" customWidth="1"/>
    <col min="17" max="21" width="9.140625" style="28" customWidth="1"/>
    <col min="22" max="27" width="9.140625" style="6" customWidth="1"/>
    <col min="28" max="16384" width="9.140625" style="6"/>
  </cols>
  <sheetData>
    <row r="1" spans="1:21" ht="15.75" x14ac:dyDescent="0.25">
      <c r="J1" s="59" t="s">
        <v>100</v>
      </c>
    </row>
    <row r="2" spans="1:21" ht="15.75" x14ac:dyDescent="0.25">
      <c r="A2" s="67" t="s">
        <v>33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21" ht="15.75" x14ac:dyDescent="0.25">
      <c r="A3" s="67" t="s">
        <v>65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21" x14ac:dyDescent="0.25">
      <c r="A4" s="18" t="s">
        <v>34</v>
      </c>
      <c r="B4" s="4"/>
      <c r="C4" s="4"/>
      <c r="D4" s="4"/>
      <c r="E4" s="4"/>
      <c r="F4" s="5"/>
      <c r="K4" s="7"/>
    </row>
    <row r="5" spans="1:21" x14ac:dyDescent="0.25">
      <c r="A5" s="68" t="s">
        <v>35</v>
      </c>
      <c r="B5" s="66" t="s">
        <v>29</v>
      </c>
      <c r="C5" s="66"/>
      <c r="D5" s="66"/>
      <c r="E5" s="66"/>
      <c r="F5" s="66"/>
      <c r="G5" s="66" t="s">
        <v>36</v>
      </c>
      <c r="H5" s="66"/>
      <c r="I5" s="66"/>
      <c r="J5" s="66"/>
      <c r="K5" s="66"/>
      <c r="L5" s="66" t="s">
        <v>42</v>
      </c>
      <c r="M5" s="66"/>
      <c r="N5" s="66"/>
      <c r="O5" s="66"/>
      <c r="P5" s="66"/>
      <c r="Q5" s="66" t="s">
        <v>43</v>
      </c>
      <c r="R5" s="66"/>
      <c r="S5" s="66"/>
      <c r="T5" s="66"/>
      <c r="U5" s="66"/>
    </row>
    <row r="6" spans="1:21" x14ac:dyDescent="0.25">
      <c r="A6" s="69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</row>
    <row r="7" spans="1:21" x14ac:dyDescent="0.25">
      <c r="A7" s="29" t="s">
        <v>37</v>
      </c>
      <c r="B7" s="9" t="s">
        <v>1</v>
      </c>
      <c r="C7" s="9" t="s">
        <v>39</v>
      </c>
      <c r="D7" s="9" t="s">
        <v>40</v>
      </c>
      <c r="E7" s="9" t="s">
        <v>2</v>
      </c>
      <c r="F7" s="9" t="s">
        <v>41</v>
      </c>
      <c r="G7" s="9" t="s">
        <v>1</v>
      </c>
      <c r="H7" s="9" t="s">
        <v>39</v>
      </c>
      <c r="I7" s="9" t="s">
        <v>40</v>
      </c>
      <c r="J7" s="9" t="s">
        <v>2</v>
      </c>
      <c r="K7" s="9" t="s">
        <v>41</v>
      </c>
      <c r="L7" s="9" t="s">
        <v>1</v>
      </c>
      <c r="M7" s="9" t="s">
        <v>39</v>
      </c>
      <c r="N7" s="9" t="s">
        <v>40</v>
      </c>
      <c r="O7" s="9" t="s">
        <v>2</v>
      </c>
      <c r="P7" s="9" t="s">
        <v>41</v>
      </c>
      <c r="Q7" s="9" t="s">
        <v>1</v>
      </c>
      <c r="R7" s="9" t="s">
        <v>39</v>
      </c>
      <c r="S7" s="9" t="s">
        <v>40</v>
      </c>
      <c r="T7" s="9" t="s">
        <v>2</v>
      </c>
      <c r="U7" s="9" t="s">
        <v>41</v>
      </c>
    </row>
    <row r="8" spans="1:21" x14ac:dyDescent="0.25">
      <c r="A8" s="30" t="s">
        <v>3</v>
      </c>
      <c r="B8" s="11">
        <f t="shared" ref="B8:B40" si="0">IF(L8/$P$41=0,"-",L8/$P$41)</f>
        <v>7.1302624730027638E-3</v>
      </c>
      <c r="C8" s="11" t="str">
        <f t="shared" ref="C8:C40" si="1">IF(M8/$P$41=0,"-",M8/$P$41)</f>
        <v>-</v>
      </c>
      <c r="D8" s="11" t="str">
        <f t="shared" ref="D8:D40" si="2">IF(N8/$P$41=0,"-",N8/$P$41)</f>
        <v>-</v>
      </c>
      <c r="E8" s="11" t="str">
        <f t="shared" ref="E8:E40" si="3">IF(O8/$P$41=0,"-",O8/$P$41)</f>
        <v>-</v>
      </c>
      <c r="F8" s="11">
        <f t="shared" ref="F8:F40" si="4">P8/$P$41</f>
        <v>7.1302624730027638E-3</v>
      </c>
      <c r="G8" s="11">
        <f t="shared" ref="G8:G40" si="5">IF(Q8/$U$41=0,"-",Q8/$U$41)</f>
        <v>7.1302624730027638E-3</v>
      </c>
      <c r="H8" s="11" t="str">
        <f t="shared" ref="H8:H40" si="6">IF(R8/$U$41=0,"-",R8/$U$41)</f>
        <v>-</v>
      </c>
      <c r="I8" s="11" t="str">
        <f t="shared" ref="I8:I40" si="7">IF(S8/$U$41=0,"-",S8/$U$41)</f>
        <v>-</v>
      </c>
      <c r="J8" s="11" t="str">
        <f t="shared" ref="J8:J40" si="8">IF(T8/$U$41=0,"-",T8/$U$41)</f>
        <v>-</v>
      </c>
      <c r="K8" s="11">
        <f t="shared" ref="K8:K40" si="9">IF(U8/$U$41=0,"-",U8/$U$41)</f>
        <v>7.1302624730027638E-3</v>
      </c>
      <c r="L8" s="13">
        <v>294543</v>
      </c>
      <c r="M8" s="13"/>
      <c r="N8" s="13"/>
      <c r="O8" s="13"/>
      <c r="P8" s="13">
        <f t="shared" ref="P8:P40" si="10">SUM(L8:O8)</f>
        <v>294543</v>
      </c>
      <c r="Q8" s="14">
        <f t="shared" ref="Q8:T42" si="11">IF(L8/744*1.15=0,"0",L8/744*1.15)</f>
        <v>455.27479838709672</v>
      </c>
      <c r="R8" s="14" t="str">
        <f t="shared" si="11"/>
        <v>0</v>
      </c>
      <c r="S8" s="14" t="str">
        <f t="shared" si="11"/>
        <v>0</v>
      </c>
      <c r="T8" s="14" t="str">
        <f t="shared" si="11"/>
        <v>0</v>
      </c>
      <c r="U8" s="14">
        <f t="shared" ref="U8:U42" si="12">Q8+R8+S8+T8</f>
        <v>455.27479838709672</v>
      </c>
    </row>
    <row r="9" spans="1:21" x14ac:dyDescent="0.25">
      <c r="A9" s="30" t="s">
        <v>4</v>
      </c>
      <c r="B9" s="11" t="str">
        <f t="shared" si="0"/>
        <v>-</v>
      </c>
      <c r="C9" s="11" t="str">
        <f t="shared" si="1"/>
        <v>-</v>
      </c>
      <c r="D9" s="11">
        <f t="shared" si="2"/>
        <v>2.2967809954949615E-2</v>
      </c>
      <c r="E9" s="11">
        <f t="shared" si="3"/>
        <v>1.3167926356134077E-2</v>
      </c>
      <c r="F9" s="11">
        <f t="shared" si="4"/>
        <v>3.6135736311083688E-2</v>
      </c>
      <c r="G9" s="11" t="str">
        <f t="shared" si="5"/>
        <v>-</v>
      </c>
      <c r="H9" s="11" t="str">
        <f t="shared" si="6"/>
        <v>-</v>
      </c>
      <c r="I9" s="11">
        <f t="shared" si="7"/>
        <v>2.2967809954949611E-2</v>
      </c>
      <c r="J9" s="11">
        <f t="shared" si="8"/>
        <v>1.3167926356134077E-2</v>
      </c>
      <c r="K9" s="11">
        <f t="shared" si="9"/>
        <v>3.6135736311083688E-2</v>
      </c>
      <c r="L9" s="13"/>
      <c r="M9" s="13"/>
      <c r="N9" s="13">
        <v>948774</v>
      </c>
      <c r="O9" s="13">
        <v>543952</v>
      </c>
      <c r="P9" s="13">
        <f t="shared" si="10"/>
        <v>1492726</v>
      </c>
      <c r="Q9" s="14" t="str">
        <f t="shared" si="11"/>
        <v>0</v>
      </c>
      <c r="R9" s="14" t="str">
        <f t="shared" si="11"/>
        <v>0</v>
      </c>
      <c r="S9" s="14">
        <f t="shared" si="11"/>
        <v>1466.518951612903</v>
      </c>
      <c r="T9" s="14">
        <f t="shared" si="11"/>
        <v>840.78602150537631</v>
      </c>
      <c r="U9" s="14">
        <f t="shared" si="12"/>
        <v>2307.3049731182791</v>
      </c>
    </row>
    <row r="10" spans="1:21" x14ac:dyDescent="0.25">
      <c r="A10" s="30" t="s">
        <v>51</v>
      </c>
      <c r="B10" s="11" t="str">
        <f t="shared" si="0"/>
        <v>-</v>
      </c>
      <c r="C10" s="11" t="str">
        <f t="shared" si="1"/>
        <v>-</v>
      </c>
      <c r="D10" s="11">
        <f t="shared" si="2"/>
        <v>1.8439725445811163E-2</v>
      </c>
      <c r="E10" s="11">
        <f t="shared" si="3"/>
        <v>1.1876847333809131E-2</v>
      </c>
      <c r="F10" s="11">
        <f t="shared" si="4"/>
        <v>3.0316572779620292E-2</v>
      </c>
      <c r="G10" s="11" t="str">
        <f t="shared" si="5"/>
        <v>-</v>
      </c>
      <c r="H10" s="11" t="str">
        <f t="shared" si="6"/>
        <v>-</v>
      </c>
      <c r="I10" s="11">
        <f t="shared" si="7"/>
        <v>1.8439725445811163E-2</v>
      </c>
      <c r="J10" s="11">
        <f t="shared" si="8"/>
        <v>1.1876847333809129E-2</v>
      </c>
      <c r="K10" s="11">
        <f t="shared" si="9"/>
        <v>3.0316572779620292E-2</v>
      </c>
      <c r="L10" s="13"/>
      <c r="M10" s="13"/>
      <c r="N10" s="13">
        <v>761724</v>
      </c>
      <c r="O10" s="13">
        <v>490619</v>
      </c>
      <c r="P10" s="13">
        <f t="shared" si="10"/>
        <v>1252343</v>
      </c>
      <c r="Q10" s="14" t="str">
        <f t="shared" si="11"/>
        <v>0</v>
      </c>
      <c r="R10" s="14" t="str">
        <f t="shared" si="11"/>
        <v>0</v>
      </c>
      <c r="S10" s="14">
        <f t="shared" si="11"/>
        <v>1177.3959677419355</v>
      </c>
      <c r="T10" s="14">
        <f t="shared" si="11"/>
        <v>758.349260752688</v>
      </c>
      <c r="U10" s="14">
        <f t="shared" si="12"/>
        <v>1935.7452284946235</v>
      </c>
    </row>
    <row r="11" spans="1:21" x14ac:dyDescent="0.25">
      <c r="A11" s="30" t="s">
        <v>6</v>
      </c>
      <c r="B11" s="11" t="str">
        <f t="shared" si="0"/>
        <v>-</v>
      </c>
      <c r="C11" s="11" t="str">
        <f t="shared" si="1"/>
        <v>-</v>
      </c>
      <c r="D11" s="11">
        <f t="shared" si="2"/>
        <v>3.6768385124565776E-3</v>
      </c>
      <c r="E11" s="11">
        <f t="shared" si="3"/>
        <v>8.8881421025969777E-3</v>
      </c>
      <c r="F11" s="11">
        <f t="shared" si="4"/>
        <v>1.2564980615053557E-2</v>
      </c>
      <c r="G11" s="11" t="str">
        <f t="shared" si="5"/>
        <v>-</v>
      </c>
      <c r="H11" s="11" t="str">
        <f t="shared" si="6"/>
        <v>-</v>
      </c>
      <c r="I11" s="11">
        <f t="shared" si="7"/>
        <v>3.6768385124565776E-3</v>
      </c>
      <c r="J11" s="11">
        <f t="shared" si="8"/>
        <v>8.8881421025969794E-3</v>
      </c>
      <c r="K11" s="11">
        <f t="shared" si="9"/>
        <v>1.2564980615053557E-2</v>
      </c>
      <c r="L11" s="13"/>
      <c r="M11" s="13"/>
      <c r="N11" s="13">
        <v>151886</v>
      </c>
      <c r="O11" s="13">
        <v>367159</v>
      </c>
      <c r="P11" s="13">
        <f t="shared" si="10"/>
        <v>519045</v>
      </c>
      <c r="Q11" s="14" t="str">
        <f t="shared" si="11"/>
        <v>0</v>
      </c>
      <c r="R11" s="14" t="str">
        <f t="shared" si="11"/>
        <v>0</v>
      </c>
      <c r="S11" s="14">
        <f t="shared" si="11"/>
        <v>234.77002688172041</v>
      </c>
      <c r="T11" s="14">
        <f t="shared" si="11"/>
        <v>567.51727150537636</v>
      </c>
      <c r="U11" s="14">
        <f t="shared" si="12"/>
        <v>802.28729838709683</v>
      </c>
    </row>
    <row r="12" spans="1:21" x14ac:dyDescent="0.25">
      <c r="A12" s="30" t="s">
        <v>52</v>
      </c>
      <c r="B12" s="11">
        <f t="shared" si="0"/>
        <v>5.6727300473908039E-2</v>
      </c>
      <c r="C12" s="11">
        <f t="shared" si="1"/>
        <v>1.1776408827375474E-2</v>
      </c>
      <c r="D12" s="11">
        <f t="shared" si="2"/>
        <v>0.17067230471488706</v>
      </c>
      <c r="E12" s="11">
        <f t="shared" si="3"/>
        <v>4.9041007137016472E-2</v>
      </c>
      <c r="F12" s="11">
        <f t="shared" si="4"/>
        <v>0.28821702115318704</v>
      </c>
      <c r="G12" s="11">
        <f t="shared" si="5"/>
        <v>5.6727300473908039E-2</v>
      </c>
      <c r="H12" s="11">
        <f t="shared" si="6"/>
        <v>1.1776408827375476E-2</v>
      </c>
      <c r="I12" s="11">
        <f t="shared" si="7"/>
        <v>0.17067230471488706</v>
      </c>
      <c r="J12" s="11">
        <f t="shared" si="8"/>
        <v>4.9041007137016479E-2</v>
      </c>
      <c r="K12" s="11">
        <f t="shared" si="9"/>
        <v>0.28821702115318704</v>
      </c>
      <c r="L12" s="13">
        <v>2343340</v>
      </c>
      <c r="M12" s="13">
        <v>486470</v>
      </c>
      <c r="N12" s="13">
        <v>7050278</v>
      </c>
      <c r="O12" s="13">
        <v>2025828</v>
      </c>
      <c r="P12" s="13">
        <f t="shared" si="10"/>
        <v>11905916</v>
      </c>
      <c r="Q12" s="14">
        <f t="shared" si="11"/>
        <v>3622.0981182795695</v>
      </c>
      <c r="R12" s="14">
        <f t="shared" si="11"/>
        <v>751.9361559139785</v>
      </c>
      <c r="S12" s="14">
        <f t="shared" si="11"/>
        <v>10897.607123655913</v>
      </c>
      <c r="T12" s="14">
        <f t="shared" si="11"/>
        <v>3131.3201612903226</v>
      </c>
      <c r="U12" s="14">
        <f t="shared" si="12"/>
        <v>18402.961559139781</v>
      </c>
    </row>
    <row r="13" spans="1:21" x14ac:dyDescent="0.25">
      <c r="A13" s="30" t="s">
        <v>9</v>
      </c>
      <c r="B13" s="11" t="str">
        <f t="shared" si="0"/>
        <v>-</v>
      </c>
      <c r="C13" s="11" t="str">
        <f t="shared" si="1"/>
        <v>-</v>
      </c>
      <c r="D13" s="11">
        <f t="shared" si="2"/>
        <v>6.1786021777702014E-3</v>
      </c>
      <c r="E13" s="11">
        <f t="shared" si="3"/>
        <v>6.2976081304402069E-3</v>
      </c>
      <c r="F13" s="11">
        <f t="shared" si="4"/>
        <v>1.2476210308210408E-2</v>
      </c>
      <c r="G13" s="11" t="str">
        <f t="shared" si="5"/>
        <v>-</v>
      </c>
      <c r="H13" s="11" t="str">
        <f t="shared" si="6"/>
        <v>-</v>
      </c>
      <c r="I13" s="11">
        <f t="shared" si="7"/>
        <v>6.1786021777702014E-3</v>
      </c>
      <c r="J13" s="11">
        <f t="shared" si="8"/>
        <v>6.2976081304402078E-3</v>
      </c>
      <c r="K13" s="11">
        <f t="shared" si="9"/>
        <v>1.2476210308210408E-2</v>
      </c>
      <c r="L13" s="13"/>
      <c r="M13" s="13"/>
      <c r="N13" s="13">
        <v>255231</v>
      </c>
      <c r="O13" s="13">
        <v>260147</v>
      </c>
      <c r="P13" s="13">
        <f t="shared" si="10"/>
        <v>515378</v>
      </c>
      <c r="Q13" s="14" t="str">
        <f t="shared" si="11"/>
        <v>0</v>
      </c>
      <c r="R13" s="14" t="str">
        <f t="shared" si="11"/>
        <v>0</v>
      </c>
      <c r="S13" s="14">
        <f t="shared" si="11"/>
        <v>394.51028225806448</v>
      </c>
      <c r="T13" s="14">
        <f t="shared" si="11"/>
        <v>402.108938172043</v>
      </c>
      <c r="U13" s="14">
        <f t="shared" si="12"/>
        <v>796.61922043010748</v>
      </c>
    </row>
    <row r="14" spans="1:21" x14ac:dyDescent="0.25">
      <c r="A14" s="30" t="s">
        <v>10</v>
      </c>
      <c r="B14" s="11" t="str">
        <f t="shared" si="0"/>
        <v>-</v>
      </c>
      <c r="C14" s="11" t="str">
        <f t="shared" si="1"/>
        <v>-</v>
      </c>
      <c r="D14" s="11">
        <f t="shared" si="2"/>
        <v>1.2717151367389531E-2</v>
      </c>
      <c r="E14" s="11">
        <f t="shared" si="3"/>
        <v>7.6492068601848057E-3</v>
      </c>
      <c r="F14" s="11">
        <f t="shared" si="4"/>
        <v>2.0366358227574339E-2</v>
      </c>
      <c r="G14" s="11" t="str">
        <f t="shared" si="5"/>
        <v>-</v>
      </c>
      <c r="H14" s="11" t="str">
        <f t="shared" si="6"/>
        <v>-</v>
      </c>
      <c r="I14" s="11">
        <f t="shared" si="7"/>
        <v>1.2717151367389533E-2</v>
      </c>
      <c r="J14" s="11">
        <f t="shared" si="8"/>
        <v>7.6492068601848057E-3</v>
      </c>
      <c r="K14" s="11">
        <f t="shared" si="9"/>
        <v>2.0366358227574335E-2</v>
      </c>
      <c r="L14" s="13"/>
      <c r="M14" s="13"/>
      <c r="N14" s="13">
        <v>525331</v>
      </c>
      <c r="O14" s="13">
        <v>315980</v>
      </c>
      <c r="P14" s="13">
        <f t="shared" si="10"/>
        <v>841311</v>
      </c>
      <c r="Q14" s="14" t="str">
        <f t="shared" si="11"/>
        <v>0</v>
      </c>
      <c r="R14" s="14" t="str">
        <f t="shared" si="11"/>
        <v>0</v>
      </c>
      <c r="S14" s="14">
        <f t="shared" si="11"/>
        <v>812.00356182795701</v>
      </c>
      <c r="T14" s="14">
        <f t="shared" si="11"/>
        <v>488.40994623655911</v>
      </c>
      <c r="U14" s="14">
        <f t="shared" si="12"/>
        <v>1300.413508064516</v>
      </c>
    </row>
    <row r="15" spans="1:21" x14ac:dyDescent="0.25">
      <c r="A15" s="30" t="s">
        <v>11</v>
      </c>
      <c r="B15" s="11" t="str">
        <f t="shared" si="0"/>
        <v>-</v>
      </c>
      <c r="C15" s="11" t="str">
        <f t="shared" si="1"/>
        <v>-</v>
      </c>
      <c r="D15" s="11">
        <f t="shared" si="2"/>
        <v>7.1036338017381167E-3</v>
      </c>
      <c r="E15" s="11">
        <f t="shared" si="3"/>
        <v>8.1929885352918733E-3</v>
      </c>
      <c r="F15" s="11">
        <f t="shared" si="4"/>
        <v>1.529662233702999E-2</v>
      </c>
      <c r="G15" s="11" t="str">
        <f t="shared" si="5"/>
        <v>-</v>
      </c>
      <c r="H15" s="11" t="str">
        <f t="shared" si="6"/>
        <v>-</v>
      </c>
      <c r="I15" s="11">
        <f t="shared" si="7"/>
        <v>7.1036338017381167E-3</v>
      </c>
      <c r="J15" s="11">
        <f t="shared" si="8"/>
        <v>8.1929885352918733E-3</v>
      </c>
      <c r="K15" s="11">
        <f t="shared" si="9"/>
        <v>1.5296622337029988E-2</v>
      </c>
      <c r="L15" s="13"/>
      <c r="M15" s="13"/>
      <c r="N15" s="13">
        <v>293443</v>
      </c>
      <c r="O15" s="13">
        <v>338443</v>
      </c>
      <c r="P15" s="13">
        <f t="shared" si="10"/>
        <v>631886</v>
      </c>
      <c r="Q15" s="14" t="str">
        <f t="shared" si="11"/>
        <v>0</v>
      </c>
      <c r="R15" s="14" t="str">
        <f t="shared" si="11"/>
        <v>0</v>
      </c>
      <c r="S15" s="14">
        <f t="shared" si="11"/>
        <v>453.57452956989249</v>
      </c>
      <c r="T15" s="14">
        <f t="shared" si="11"/>
        <v>523.13098118279561</v>
      </c>
      <c r="U15" s="14">
        <f t="shared" si="12"/>
        <v>976.70551075268804</v>
      </c>
    </row>
    <row r="16" spans="1:21" x14ac:dyDescent="0.25">
      <c r="A16" s="30" t="s">
        <v>12</v>
      </c>
      <c r="B16" s="11" t="str">
        <f t="shared" si="0"/>
        <v>-</v>
      </c>
      <c r="C16" s="11" t="str">
        <f t="shared" si="1"/>
        <v>-</v>
      </c>
      <c r="D16" s="11">
        <f t="shared" si="2"/>
        <v>8.7532315708170865E-3</v>
      </c>
      <c r="E16" s="11">
        <f t="shared" si="3"/>
        <v>2.8060567542196398E-3</v>
      </c>
      <c r="F16" s="11">
        <f t="shared" si="4"/>
        <v>1.1559288325036728E-2</v>
      </c>
      <c r="G16" s="11" t="str">
        <f t="shared" si="5"/>
        <v>-</v>
      </c>
      <c r="H16" s="11" t="str">
        <f t="shared" si="6"/>
        <v>-</v>
      </c>
      <c r="I16" s="11">
        <f t="shared" si="7"/>
        <v>8.7532315708170865E-3</v>
      </c>
      <c r="J16" s="11">
        <f t="shared" si="8"/>
        <v>2.8060567542196398E-3</v>
      </c>
      <c r="K16" s="11">
        <f t="shared" si="9"/>
        <v>1.1559288325036726E-2</v>
      </c>
      <c r="L16" s="13"/>
      <c r="M16" s="13"/>
      <c r="N16" s="13">
        <v>361586</v>
      </c>
      <c r="O16" s="13">
        <v>115915</v>
      </c>
      <c r="P16" s="13">
        <f t="shared" si="10"/>
        <v>477501</v>
      </c>
      <c r="Q16" s="14" t="str">
        <f t="shared" si="11"/>
        <v>0</v>
      </c>
      <c r="R16" s="14" t="str">
        <f t="shared" si="11"/>
        <v>0</v>
      </c>
      <c r="S16" s="14">
        <f t="shared" si="11"/>
        <v>558.90309139784938</v>
      </c>
      <c r="T16" s="14">
        <f t="shared" si="11"/>
        <v>179.16969086021504</v>
      </c>
      <c r="U16" s="14">
        <f t="shared" si="12"/>
        <v>738.07278225806442</v>
      </c>
    </row>
    <row r="17" spans="1:23" x14ac:dyDescent="0.25">
      <c r="A17" s="30" t="s">
        <v>13</v>
      </c>
      <c r="B17" s="11">
        <f t="shared" si="0"/>
        <v>1.465869620506091E-2</v>
      </c>
      <c r="C17" s="11" t="str">
        <f t="shared" si="1"/>
        <v>-</v>
      </c>
      <c r="D17" s="11">
        <f t="shared" si="2"/>
        <v>5.5616158645683212E-3</v>
      </c>
      <c r="E17" s="11">
        <f t="shared" si="3"/>
        <v>8.7420717367689034E-3</v>
      </c>
      <c r="F17" s="11">
        <f t="shared" si="4"/>
        <v>2.8962383806398134E-2</v>
      </c>
      <c r="G17" s="11">
        <f t="shared" si="5"/>
        <v>1.465869620506091E-2</v>
      </c>
      <c r="H17" s="11" t="str">
        <f t="shared" si="6"/>
        <v>-</v>
      </c>
      <c r="I17" s="11">
        <f t="shared" si="7"/>
        <v>5.5616158645683212E-3</v>
      </c>
      <c r="J17" s="11">
        <f t="shared" si="8"/>
        <v>8.7420717367689017E-3</v>
      </c>
      <c r="K17" s="11">
        <f t="shared" si="9"/>
        <v>2.8962383806398134E-2</v>
      </c>
      <c r="L17" s="13">
        <v>605534</v>
      </c>
      <c r="M17" s="13"/>
      <c r="N17" s="13">
        <v>229744</v>
      </c>
      <c r="O17" s="13">
        <v>361125</v>
      </c>
      <c r="P17" s="13">
        <f t="shared" si="10"/>
        <v>1196403</v>
      </c>
      <c r="Q17" s="14">
        <f t="shared" si="11"/>
        <v>935.97325268817201</v>
      </c>
      <c r="R17" s="14" t="str">
        <f t="shared" si="11"/>
        <v>0</v>
      </c>
      <c r="S17" s="14">
        <f t="shared" si="11"/>
        <v>355.11505376344087</v>
      </c>
      <c r="T17" s="14">
        <f t="shared" si="11"/>
        <v>558.1905241935483</v>
      </c>
      <c r="U17" s="14">
        <f t="shared" si="12"/>
        <v>1849.2788306451612</v>
      </c>
    </row>
    <row r="18" spans="1:23" x14ac:dyDescent="0.25">
      <c r="A18" s="30" t="s">
        <v>14</v>
      </c>
      <c r="B18" s="11" t="str">
        <f t="shared" si="0"/>
        <v>-</v>
      </c>
      <c r="C18" s="11" t="str">
        <f t="shared" si="1"/>
        <v>-</v>
      </c>
      <c r="D18" s="11">
        <f t="shared" si="2"/>
        <v>1.265457398991761E-2</v>
      </c>
      <c r="E18" s="11">
        <f t="shared" si="3"/>
        <v>1.4328936423272704E-2</v>
      </c>
      <c r="F18" s="11">
        <f t="shared" si="4"/>
        <v>2.6983510413190314E-2</v>
      </c>
      <c r="G18" s="11" t="str">
        <f t="shared" si="5"/>
        <v>-</v>
      </c>
      <c r="H18" s="11" t="str">
        <f t="shared" si="6"/>
        <v>-</v>
      </c>
      <c r="I18" s="11">
        <f t="shared" si="7"/>
        <v>1.265457398991761E-2</v>
      </c>
      <c r="J18" s="11">
        <f t="shared" si="8"/>
        <v>1.4328936423272704E-2</v>
      </c>
      <c r="K18" s="11">
        <f t="shared" si="9"/>
        <v>2.6983510413190314E-2</v>
      </c>
      <c r="L18" s="13"/>
      <c r="M18" s="13"/>
      <c r="N18" s="13">
        <v>522746</v>
      </c>
      <c r="O18" s="13">
        <v>591912</v>
      </c>
      <c r="P18" s="13">
        <f t="shared" si="10"/>
        <v>1114658</v>
      </c>
      <c r="Q18" s="14" t="str">
        <f t="shared" si="11"/>
        <v>0</v>
      </c>
      <c r="R18" s="14" t="str">
        <f t="shared" si="11"/>
        <v>0</v>
      </c>
      <c r="S18" s="14">
        <f t="shared" si="11"/>
        <v>808.00793010752682</v>
      </c>
      <c r="T18" s="14">
        <f t="shared" si="11"/>
        <v>914.91774193548383</v>
      </c>
      <c r="U18" s="14">
        <f t="shared" si="12"/>
        <v>1722.9256720430108</v>
      </c>
    </row>
    <row r="19" spans="1:23" x14ac:dyDescent="0.25">
      <c r="A19" s="30" t="s">
        <v>15</v>
      </c>
      <c r="B19" s="11" t="str">
        <f t="shared" si="0"/>
        <v>-</v>
      </c>
      <c r="C19" s="11" t="str">
        <f t="shared" si="1"/>
        <v>-</v>
      </c>
      <c r="D19" s="11">
        <f t="shared" si="2"/>
        <v>8.7617769535047428E-3</v>
      </c>
      <c r="E19" s="11">
        <f t="shared" si="3"/>
        <v>1.2404288687912893E-2</v>
      </c>
      <c r="F19" s="11">
        <f t="shared" si="4"/>
        <v>2.1166065641417636E-2</v>
      </c>
      <c r="G19" s="11" t="str">
        <f t="shared" si="5"/>
        <v>-</v>
      </c>
      <c r="H19" s="11" t="str">
        <f t="shared" si="6"/>
        <v>-</v>
      </c>
      <c r="I19" s="11">
        <f t="shared" si="7"/>
        <v>8.7617769535047428E-3</v>
      </c>
      <c r="J19" s="11">
        <f t="shared" si="8"/>
        <v>1.2404288687912893E-2</v>
      </c>
      <c r="K19" s="11">
        <f t="shared" si="9"/>
        <v>2.1166065641417636E-2</v>
      </c>
      <c r="L19" s="13"/>
      <c r="M19" s="13"/>
      <c r="N19" s="13">
        <v>361939</v>
      </c>
      <c r="O19" s="13">
        <v>512407</v>
      </c>
      <c r="P19" s="13">
        <f t="shared" si="10"/>
        <v>874346</v>
      </c>
      <c r="Q19" s="14" t="str">
        <f t="shared" si="11"/>
        <v>0</v>
      </c>
      <c r="R19" s="14" t="str">
        <f t="shared" si="11"/>
        <v>0</v>
      </c>
      <c r="S19" s="14">
        <f t="shared" si="11"/>
        <v>559.44872311827953</v>
      </c>
      <c r="T19" s="14">
        <f t="shared" si="11"/>
        <v>792.02694892473119</v>
      </c>
      <c r="U19" s="14">
        <f t="shared" si="12"/>
        <v>1351.4756720430107</v>
      </c>
    </row>
    <row r="20" spans="1:23" x14ac:dyDescent="0.25">
      <c r="A20" s="30" t="s">
        <v>16</v>
      </c>
      <c r="B20" s="11" t="str">
        <f t="shared" si="0"/>
        <v>-</v>
      </c>
      <c r="C20" s="11" t="str">
        <f t="shared" si="1"/>
        <v>-</v>
      </c>
      <c r="D20" s="11">
        <f t="shared" si="2"/>
        <v>1.9688271217761576E-2</v>
      </c>
      <c r="E20" s="11">
        <f t="shared" si="3"/>
        <v>2.0317240433032548E-2</v>
      </c>
      <c r="F20" s="11">
        <f t="shared" si="4"/>
        <v>4.0005511650794121E-2</v>
      </c>
      <c r="G20" s="11" t="str">
        <f t="shared" si="5"/>
        <v>-</v>
      </c>
      <c r="H20" s="11" t="str">
        <f t="shared" si="6"/>
        <v>-</v>
      </c>
      <c r="I20" s="11">
        <f t="shared" si="7"/>
        <v>1.9688271217761576E-2</v>
      </c>
      <c r="J20" s="11">
        <f t="shared" si="8"/>
        <v>2.0317240433032548E-2</v>
      </c>
      <c r="K20" s="11">
        <f t="shared" si="9"/>
        <v>4.0005511650794121E-2</v>
      </c>
      <c r="L20" s="13"/>
      <c r="M20" s="13"/>
      <c r="N20" s="13">
        <v>813300</v>
      </c>
      <c r="O20" s="13">
        <v>839282</v>
      </c>
      <c r="P20" s="13">
        <f t="shared" si="10"/>
        <v>1652582</v>
      </c>
      <c r="Q20" s="14" t="str">
        <f t="shared" si="11"/>
        <v>0</v>
      </c>
      <c r="R20" s="14" t="str">
        <f t="shared" si="11"/>
        <v>0</v>
      </c>
      <c r="S20" s="14">
        <f t="shared" si="11"/>
        <v>1257.116935483871</v>
      </c>
      <c r="T20" s="14">
        <f t="shared" si="11"/>
        <v>1297.2772849462365</v>
      </c>
      <c r="U20" s="14">
        <f t="shared" si="12"/>
        <v>2554.3942204301075</v>
      </c>
    </row>
    <row r="21" spans="1:23" x14ac:dyDescent="0.25">
      <c r="A21" s="30" t="s">
        <v>47</v>
      </c>
      <c r="B21" s="11" t="str">
        <f t="shared" si="0"/>
        <v>-</v>
      </c>
      <c r="C21" s="11" t="str">
        <f t="shared" si="1"/>
        <v>-</v>
      </c>
      <c r="D21" s="11">
        <f t="shared" si="2"/>
        <v>4.8034975936638094E-3</v>
      </c>
      <c r="E21" s="11">
        <f t="shared" si="3"/>
        <v>1.1504070143987036E-3</v>
      </c>
      <c r="F21" s="11">
        <f t="shared" si="4"/>
        <v>5.953904608062513E-3</v>
      </c>
      <c r="G21" s="11" t="str">
        <f t="shared" si="5"/>
        <v>-</v>
      </c>
      <c r="H21" s="11" t="str">
        <f t="shared" si="6"/>
        <v>-</v>
      </c>
      <c r="I21" s="11">
        <f t="shared" si="7"/>
        <v>4.8034975936638085E-3</v>
      </c>
      <c r="J21" s="11">
        <f t="shared" si="8"/>
        <v>1.1504070143987036E-3</v>
      </c>
      <c r="K21" s="11">
        <f t="shared" si="9"/>
        <v>5.9539046080625121E-3</v>
      </c>
      <c r="L21" s="13"/>
      <c r="M21" s="13"/>
      <c r="N21" s="13">
        <f>65749+132678</f>
        <v>198427</v>
      </c>
      <c r="O21" s="13">
        <v>47522</v>
      </c>
      <c r="P21" s="13">
        <f t="shared" si="10"/>
        <v>245949</v>
      </c>
      <c r="Q21" s="14" t="str">
        <f t="shared" si="11"/>
        <v>0</v>
      </c>
      <c r="R21" s="14" t="str">
        <f t="shared" si="11"/>
        <v>0</v>
      </c>
      <c r="S21" s="14">
        <f t="shared" si="11"/>
        <v>306.70840053763436</v>
      </c>
      <c r="T21" s="14">
        <f t="shared" si="11"/>
        <v>73.454704301075267</v>
      </c>
      <c r="U21" s="14">
        <f t="shared" si="12"/>
        <v>380.16310483870961</v>
      </c>
    </row>
    <row r="22" spans="1:23" x14ac:dyDescent="0.25">
      <c r="A22" s="30" t="s">
        <v>45</v>
      </c>
      <c r="B22" s="11" t="str">
        <f t="shared" si="0"/>
        <v>-</v>
      </c>
      <c r="C22" s="11" t="str">
        <f t="shared" si="1"/>
        <v>-</v>
      </c>
      <c r="D22" s="11">
        <f t="shared" si="2"/>
        <v>1.5548239072597941E-3</v>
      </c>
      <c r="E22" s="11">
        <f t="shared" si="3"/>
        <v>5.9324564237529876E-3</v>
      </c>
      <c r="F22" s="11">
        <f t="shared" si="4"/>
        <v>7.4872803310127821E-3</v>
      </c>
      <c r="G22" s="11" t="str">
        <f t="shared" si="5"/>
        <v>-</v>
      </c>
      <c r="H22" s="11" t="str">
        <f t="shared" si="6"/>
        <v>-</v>
      </c>
      <c r="I22" s="11">
        <f t="shared" si="7"/>
        <v>1.5548239072597939E-3</v>
      </c>
      <c r="J22" s="11">
        <f t="shared" si="8"/>
        <v>5.9324564237529867E-3</v>
      </c>
      <c r="K22" s="11">
        <f t="shared" si="9"/>
        <v>7.4872803310127812E-3</v>
      </c>
      <c r="L22" s="13"/>
      <c r="M22" s="13"/>
      <c r="N22" s="13">
        <v>64228</v>
      </c>
      <c r="O22" s="13">
        <v>245063</v>
      </c>
      <c r="P22" s="13">
        <f t="shared" si="10"/>
        <v>309291</v>
      </c>
      <c r="Q22" s="14" t="str">
        <f t="shared" si="11"/>
        <v>0</v>
      </c>
      <c r="R22" s="14" t="str">
        <f t="shared" si="11"/>
        <v>0</v>
      </c>
      <c r="S22" s="14">
        <f t="shared" si="11"/>
        <v>99.277150537634398</v>
      </c>
      <c r="T22" s="14">
        <f t="shared" si="11"/>
        <v>378.79361559139778</v>
      </c>
      <c r="U22" s="14">
        <f t="shared" si="12"/>
        <v>478.07076612903217</v>
      </c>
    </row>
    <row r="23" spans="1:23" x14ac:dyDescent="0.25">
      <c r="A23" s="30" t="s">
        <v>30</v>
      </c>
      <c r="B23" s="11" t="str">
        <f t="shared" si="0"/>
        <v>-</v>
      </c>
      <c r="C23" s="11" t="str">
        <f t="shared" si="1"/>
        <v>-</v>
      </c>
      <c r="D23" s="11">
        <f t="shared" si="2"/>
        <v>8.888650468139303E-4</v>
      </c>
      <c r="E23" s="11">
        <f t="shared" si="3"/>
        <v>3.5435499088355337E-3</v>
      </c>
      <c r="F23" s="11">
        <f t="shared" si="4"/>
        <v>4.432414955649464E-3</v>
      </c>
      <c r="G23" s="11" t="str">
        <f t="shared" si="5"/>
        <v>-</v>
      </c>
      <c r="H23" s="11" t="str">
        <f t="shared" si="6"/>
        <v>-</v>
      </c>
      <c r="I23" s="11">
        <f t="shared" si="7"/>
        <v>8.888650468139303E-4</v>
      </c>
      <c r="J23" s="11">
        <f t="shared" si="8"/>
        <v>3.5435499088355337E-3</v>
      </c>
      <c r="K23" s="11">
        <f t="shared" si="9"/>
        <v>4.432414955649464E-3</v>
      </c>
      <c r="L23" s="13"/>
      <c r="M23" s="13"/>
      <c r="N23" s="13">
        <v>36718</v>
      </c>
      <c r="O23" s="13">
        <v>146380</v>
      </c>
      <c r="P23" s="13">
        <f t="shared" si="10"/>
        <v>183098</v>
      </c>
      <c r="Q23" s="14" t="str">
        <f t="shared" si="11"/>
        <v>0</v>
      </c>
      <c r="R23" s="14" t="str">
        <f t="shared" si="11"/>
        <v>0</v>
      </c>
      <c r="S23" s="14">
        <f t="shared" si="11"/>
        <v>56.754973118279565</v>
      </c>
      <c r="T23" s="14">
        <f t="shared" si="11"/>
        <v>226.25940860215053</v>
      </c>
      <c r="U23" s="14">
        <f t="shared" si="12"/>
        <v>283.01438172043009</v>
      </c>
    </row>
    <row r="24" spans="1:23" x14ac:dyDescent="0.25">
      <c r="A24" s="30" t="s">
        <v>50</v>
      </c>
      <c r="B24" s="11" t="str">
        <f t="shared" si="0"/>
        <v>-</v>
      </c>
      <c r="C24" s="11" t="str">
        <f t="shared" si="1"/>
        <v>-</v>
      </c>
      <c r="D24" s="11">
        <f t="shared" si="2"/>
        <v>6.6895579635728496E-3</v>
      </c>
      <c r="E24" s="11">
        <f t="shared" si="3"/>
        <v>2.1692926006330166E-3</v>
      </c>
      <c r="F24" s="11">
        <f t="shared" si="4"/>
        <v>8.8588505642058658E-3</v>
      </c>
      <c r="G24" s="11" t="str">
        <f t="shared" si="5"/>
        <v>-</v>
      </c>
      <c r="H24" s="11" t="str">
        <f t="shared" si="6"/>
        <v>-</v>
      </c>
      <c r="I24" s="11">
        <f t="shared" si="7"/>
        <v>6.6895579635728496E-3</v>
      </c>
      <c r="J24" s="11">
        <f t="shared" si="8"/>
        <v>2.1692926006330166E-3</v>
      </c>
      <c r="K24" s="11">
        <f t="shared" si="9"/>
        <v>8.8588505642058658E-3</v>
      </c>
      <c r="L24" s="13"/>
      <c r="M24" s="13"/>
      <c r="N24" s="13">
        <v>276338</v>
      </c>
      <c r="O24" s="13">
        <v>89611</v>
      </c>
      <c r="P24" s="13">
        <f t="shared" si="10"/>
        <v>365949</v>
      </c>
      <c r="Q24" s="14" t="str">
        <f t="shared" si="11"/>
        <v>0</v>
      </c>
      <c r="R24" s="14" t="str">
        <f t="shared" si="11"/>
        <v>0</v>
      </c>
      <c r="S24" s="14">
        <f t="shared" si="11"/>
        <v>427.13534946236558</v>
      </c>
      <c r="T24" s="14">
        <f t="shared" si="11"/>
        <v>138.51162634408601</v>
      </c>
      <c r="U24" s="14">
        <f t="shared" si="12"/>
        <v>565.64697580645156</v>
      </c>
    </row>
    <row r="25" spans="1:23" x14ac:dyDescent="0.25">
      <c r="A25" s="30" t="s">
        <v>17</v>
      </c>
      <c r="B25" s="11" t="str">
        <f t="shared" si="0"/>
        <v>-</v>
      </c>
      <c r="C25" s="11" t="str">
        <f t="shared" si="1"/>
        <v>-</v>
      </c>
      <c r="D25" s="11">
        <f t="shared" si="2"/>
        <v>1.9268119200971375E-2</v>
      </c>
      <c r="E25" s="11">
        <f t="shared" si="3"/>
        <v>1.8034219198216517E-2</v>
      </c>
      <c r="F25" s="11">
        <f t="shared" si="4"/>
        <v>3.7302338399187895E-2</v>
      </c>
      <c r="G25" s="11" t="str">
        <f t="shared" si="5"/>
        <v>-</v>
      </c>
      <c r="H25" s="11" t="str">
        <f t="shared" si="6"/>
        <v>-</v>
      </c>
      <c r="I25" s="11">
        <f t="shared" si="7"/>
        <v>1.9268119200971372E-2</v>
      </c>
      <c r="J25" s="11">
        <f t="shared" si="8"/>
        <v>1.8034219198216517E-2</v>
      </c>
      <c r="K25" s="11">
        <f t="shared" si="9"/>
        <v>3.7302338399187895E-2</v>
      </c>
      <c r="L25" s="13"/>
      <c r="M25" s="13"/>
      <c r="N25" s="13">
        <v>795944</v>
      </c>
      <c r="O25" s="13">
        <v>744973</v>
      </c>
      <c r="P25" s="13">
        <f t="shared" si="10"/>
        <v>1540917</v>
      </c>
      <c r="Q25" s="14" t="str">
        <f t="shared" si="11"/>
        <v>0</v>
      </c>
      <c r="R25" s="14" t="str">
        <f t="shared" si="11"/>
        <v>0</v>
      </c>
      <c r="S25" s="14">
        <f t="shared" si="11"/>
        <v>1230.2897849462363</v>
      </c>
      <c r="T25" s="14">
        <f t="shared" si="11"/>
        <v>1151.5039650537633</v>
      </c>
      <c r="U25" s="14">
        <f t="shared" si="12"/>
        <v>2381.7937499999998</v>
      </c>
    </row>
    <row r="26" spans="1:23" x14ac:dyDescent="0.25">
      <c r="A26" s="30" t="s">
        <v>18</v>
      </c>
      <c r="B26" s="11" t="str">
        <f t="shared" si="0"/>
        <v>-</v>
      </c>
      <c r="C26" s="11" t="str">
        <f t="shared" si="1"/>
        <v>-</v>
      </c>
      <c r="D26" s="11">
        <f t="shared" si="2"/>
        <v>3.8237125799991854E-2</v>
      </c>
      <c r="E26" s="11">
        <f t="shared" si="3"/>
        <v>3.6311098215302878E-3</v>
      </c>
      <c r="F26" s="11">
        <f t="shared" si="4"/>
        <v>4.1868235621522143E-2</v>
      </c>
      <c r="G26" s="11" t="str">
        <f t="shared" si="5"/>
        <v>-</v>
      </c>
      <c r="H26" s="11" t="str">
        <f t="shared" si="6"/>
        <v>-</v>
      </c>
      <c r="I26" s="11">
        <f t="shared" si="7"/>
        <v>3.8237125799991854E-2</v>
      </c>
      <c r="J26" s="11">
        <f t="shared" si="8"/>
        <v>3.6311098215302874E-3</v>
      </c>
      <c r="K26" s="11">
        <f t="shared" si="9"/>
        <v>4.1868235621522143E-2</v>
      </c>
      <c r="L26" s="13"/>
      <c r="M26" s="13"/>
      <c r="N26" s="13">
        <v>1579532</v>
      </c>
      <c r="O26" s="13">
        <v>149997</v>
      </c>
      <c r="P26" s="13">
        <f t="shared" si="10"/>
        <v>1729529</v>
      </c>
      <c r="Q26" s="14" t="str">
        <f t="shared" si="11"/>
        <v>0</v>
      </c>
      <c r="R26" s="14" t="str">
        <f t="shared" si="11"/>
        <v>0</v>
      </c>
      <c r="S26" s="14">
        <f t="shared" si="11"/>
        <v>2441.4809139784943</v>
      </c>
      <c r="T26" s="14">
        <f t="shared" si="11"/>
        <v>231.85020161290319</v>
      </c>
      <c r="U26" s="14">
        <f t="shared" si="12"/>
        <v>2673.3311155913975</v>
      </c>
      <c r="W26" s="31"/>
    </row>
    <row r="27" spans="1:23" x14ac:dyDescent="0.25">
      <c r="A27" s="30" t="s">
        <v>19</v>
      </c>
      <c r="B27" s="11" t="str">
        <f t="shared" si="0"/>
        <v>-</v>
      </c>
      <c r="C27" s="11" t="str">
        <f t="shared" si="1"/>
        <v>-</v>
      </c>
      <c r="D27" s="11">
        <f t="shared" si="2"/>
        <v>3.4549248492901936E-3</v>
      </c>
      <c r="E27" s="11">
        <f t="shared" si="3"/>
        <v>2.8636473078001816E-3</v>
      </c>
      <c r="F27" s="11">
        <f t="shared" si="4"/>
        <v>6.3185721570903752E-3</v>
      </c>
      <c r="G27" s="11" t="str">
        <f t="shared" si="5"/>
        <v>-</v>
      </c>
      <c r="H27" s="11" t="str">
        <f t="shared" si="6"/>
        <v>-</v>
      </c>
      <c r="I27" s="11">
        <f t="shared" si="7"/>
        <v>3.4549248492901931E-3</v>
      </c>
      <c r="J27" s="11">
        <f t="shared" si="8"/>
        <v>2.863647307800182E-3</v>
      </c>
      <c r="K27" s="11">
        <f t="shared" si="9"/>
        <v>6.3185721570903752E-3</v>
      </c>
      <c r="L27" s="13"/>
      <c r="M27" s="13"/>
      <c r="N27" s="13">
        <v>142719</v>
      </c>
      <c r="O27" s="13">
        <v>118294</v>
      </c>
      <c r="P27" s="13">
        <f t="shared" si="10"/>
        <v>261013</v>
      </c>
      <c r="Q27" s="14" t="str">
        <f t="shared" si="11"/>
        <v>0</v>
      </c>
      <c r="R27" s="14" t="str">
        <f t="shared" si="11"/>
        <v>0</v>
      </c>
      <c r="S27" s="14">
        <f t="shared" si="11"/>
        <v>220.60060483870964</v>
      </c>
      <c r="T27" s="14">
        <f t="shared" si="11"/>
        <v>182.84690860215053</v>
      </c>
      <c r="U27" s="14">
        <f t="shared" si="12"/>
        <v>403.44751344086018</v>
      </c>
    </row>
    <row r="28" spans="1:23" x14ac:dyDescent="0.25">
      <c r="A28" s="30" t="s">
        <v>20</v>
      </c>
      <c r="B28" s="11" t="str">
        <f t="shared" si="0"/>
        <v>-</v>
      </c>
      <c r="C28" s="11" t="str">
        <f t="shared" si="1"/>
        <v>-</v>
      </c>
      <c r="D28" s="11">
        <f t="shared" si="2"/>
        <v>5.0723261340219084E-3</v>
      </c>
      <c r="E28" s="11" t="str">
        <f t="shared" si="3"/>
        <v>-</v>
      </c>
      <c r="F28" s="11">
        <f t="shared" si="4"/>
        <v>5.0723261340219084E-3</v>
      </c>
      <c r="G28" s="11" t="str">
        <f t="shared" si="5"/>
        <v>-</v>
      </c>
      <c r="H28" s="11" t="str">
        <f t="shared" si="6"/>
        <v>-</v>
      </c>
      <c r="I28" s="11">
        <f t="shared" si="7"/>
        <v>5.0723261340219084E-3</v>
      </c>
      <c r="J28" s="11" t="str">
        <f t="shared" si="8"/>
        <v>-</v>
      </c>
      <c r="K28" s="11">
        <f t="shared" si="9"/>
        <v>5.0723261340219084E-3</v>
      </c>
      <c r="L28" s="13"/>
      <c r="M28" s="13"/>
      <c r="N28" s="13">
        <v>209532</v>
      </c>
      <c r="O28" s="13"/>
      <c r="P28" s="13">
        <f t="shared" si="10"/>
        <v>209532</v>
      </c>
      <c r="Q28" s="14" t="str">
        <f t="shared" si="11"/>
        <v>0</v>
      </c>
      <c r="R28" s="14" t="str">
        <f t="shared" si="11"/>
        <v>0</v>
      </c>
      <c r="S28" s="14">
        <f t="shared" si="11"/>
        <v>323.87338709677414</v>
      </c>
      <c r="T28" s="14" t="str">
        <f t="shared" si="11"/>
        <v>0</v>
      </c>
      <c r="U28" s="14">
        <f t="shared" si="12"/>
        <v>323.87338709677414</v>
      </c>
    </row>
    <row r="29" spans="1:23" x14ac:dyDescent="0.25">
      <c r="A29" s="30" t="s">
        <v>21</v>
      </c>
      <c r="B29" s="11">
        <f t="shared" si="0"/>
        <v>2.221649409915907E-2</v>
      </c>
      <c r="C29" s="11" t="str">
        <f t="shared" si="1"/>
        <v>-</v>
      </c>
      <c r="D29" s="11">
        <f t="shared" si="2"/>
        <v>5.1441146109631013E-2</v>
      </c>
      <c r="E29" s="11">
        <f t="shared" si="3"/>
        <v>1.5584139363039278E-2</v>
      </c>
      <c r="F29" s="11">
        <f t="shared" si="4"/>
        <v>8.9241779571829369E-2</v>
      </c>
      <c r="G29" s="11">
        <f t="shared" si="5"/>
        <v>2.221649409915907E-2</v>
      </c>
      <c r="H29" s="11" t="str">
        <f t="shared" si="6"/>
        <v>-</v>
      </c>
      <c r="I29" s="11">
        <f t="shared" si="7"/>
        <v>5.144114610963102E-2</v>
      </c>
      <c r="J29" s="11">
        <f t="shared" si="8"/>
        <v>1.5584139363039278E-2</v>
      </c>
      <c r="K29" s="11">
        <f t="shared" si="9"/>
        <v>8.9241779571829383E-2</v>
      </c>
      <c r="L29" s="13">
        <v>917738</v>
      </c>
      <c r="M29" s="13"/>
      <c r="N29" s="13">
        <v>2124975</v>
      </c>
      <c r="O29" s="13">
        <v>643763</v>
      </c>
      <c r="P29" s="13">
        <f t="shared" si="10"/>
        <v>3686476</v>
      </c>
      <c r="Q29" s="14">
        <f t="shared" si="11"/>
        <v>1418.5466397849461</v>
      </c>
      <c r="R29" s="14" t="str">
        <f t="shared" si="11"/>
        <v>0</v>
      </c>
      <c r="S29" s="14">
        <f t="shared" si="11"/>
        <v>3284.5715725806454</v>
      </c>
      <c r="T29" s="14">
        <f t="shared" si="11"/>
        <v>995.06377688172029</v>
      </c>
      <c r="U29" s="14">
        <f t="shared" si="12"/>
        <v>5698.1819892473122</v>
      </c>
    </row>
    <row r="30" spans="1:23" x14ac:dyDescent="0.25">
      <c r="A30" s="30" t="s">
        <v>22</v>
      </c>
      <c r="B30" s="11" t="str">
        <f t="shared" si="0"/>
        <v>-</v>
      </c>
      <c r="C30" s="11" t="str">
        <f t="shared" si="1"/>
        <v>-</v>
      </c>
      <c r="D30" s="11">
        <f t="shared" si="2"/>
        <v>1.4734152176271734E-2</v>
      </c>
      <c r="E30" s="11">
        <f t="shared" si="3"/>
        <v>2.0902683874727303E-2</v>
      </c>
      <c r="F30" s="11">
        <f t="shared" si="4"/>
        <v>3.5636836050999036E-2</v>
      </c>
      <c r="G30" s="11" t="str">
        <f t="shared" si="5"/>
        <v>-</v>
      </c>
      <c r="H30" s="11" t="str">
        <f t="shared" si="6"/>
        <v>-</v>
      </c>
      <c r="I30" s="11">
        <f t="shared" si="7"/>
        <v>1.4734152176271734E-2</v>
      </c>
      <c r="J30" s="11">
        <f t="shared" si="8"/>
        <v>2.0902683874727303E-2</v>
      </c>
      <c r="K30" s="11">
        <f t="shared" si="9"/>
        <v>3.5636836050999036E-2</v>
      </c>
      <c r="L30" s="13"/>
      <c r="M30" s="13"/>
      <c r="N30" s="13">
        <v>608651</v>
      </c>
      <c r="O30" s="13">
        <v>863466</v>
      </c>
      <c r="P30" s="13">
        <f t="shared" si="10"/>
        <v>1472117</v>
      </c>
      <c r="Q30" s="14" t="str">
        <f t="shared" si="11"/>
        <v>0</v>
      </c>
      <c r="R30" s="14" t="str">
        <f t="shared" si="11"/>
        <v>0</v>
      </c>
      <c r="S30" s="14">
        <f t="shared" si="11"/>
        <v>940.79119623655913</v>
      </c>
      <c r="T30" s="14">
        <f t="shared" si="11"/>
        <v>1334.6584677419353</v>
      </c>
      <c r="U30" s="14">
        <f t="shared" si="12"/>
        <v>2275.4496639784943</v>
      </c>
    </row>
    <row r="31" spans="1:23" x14ac:dyDescent="0.25">
      <c r="A31" s="30" t="s">
        <v>23</v>
      </c>
      <c r="B31" s="11" t="str">
        <f t="shared" si="0"/>
        <v>-</v>
      </c>
      <c r="C31" s="11" t="str">
        <f t="shared" si="1"/>
        <v>-</v>
      </c>
      <c r="D31" s="11">
        <f t="shared" si="2"/>
        <v>5.6622238261827519E-4</v>
      </c>
      <c r="E31" s="11">
        <f t="shared" si="3"/>
        <v>1.4548211427195591E-3</v>
      </c>
      <c r="F31" s="11">
        <f t="shared" si="4"/>
        <v>2.0210435253378341E-3</v>
      </c>
      <c r="G31" s="11" t="str">
        <f t="shared" si="5"/>
        <v>-</v>
      </c>
      <c r="H31" s="11" t="str">
        <f t="shared" si="6"/>
        <v>-</v>
      </c>
      <c r="I31" s="11">
        <f t="shared" si="7"/>
        <v>5.6622238261827519E-4</v>
      </c>
      <c r="J31" s="11">
        <f t="shared" si="8"/>
        <v>1.4548211427195591E-3</v>
      </c>
      <c r="K31" s="11">
        <f t="shared" si="9"/>
        <v>2.0210435253378341E-3</v>
      </c>
      <c r="L31" s="13"/>
      <c r="M31" s="13"/>
      <c r="N31" s="13">
        <f>14550+8840</f>
        <v>23390</v>
      </c>
      <c r="O31" s="13">
        <v>60097</v>
      </c>
      <c r="P31" s="13">
        <f t="shared" si="10"/>
        <v>83487</v>
      </c>
      <c r="Q31" s="14" t="str">
        <f t="shared" si="11"/>
        <v>0</v>
      </c>
      <c r="R31" s="14" t="str">
        <f t="shared" si="11"/>
        <v>0</v>
      </c>
      <c r="S31" s="14">
        <f t="shared" si="11"/>
        <v>36.153897849462361</v>
      </c>
      <c r="T31" s="14">
        <f t="shared" si="11"/>
        <v>92.891868279569891</v>
      </c>
      <c r="U31" s="14">
        <f t="shared" si="12"/>
        <v>129.04576612903224</v>
      </c>
    </row>
    <row r="32" spans="1:23" x14ac:dyDescent="0.25">
      <c r="A32" s="30" t="s">
        <v>24</v>
      </c>
      <c r="B32" s="11">
        <f t="shared" si="0"/>
        <v>9.8511316870584995E-3</v>
      </c>
      <c r="C32" s="11" t="str">
        <f t="shared" si="1"/>
        <v>-</v>
      </c>
      <c r="D32" s="11">
        <f t="shared" si="2"/>
        <v>1.8892630728256879E-2</v>
      </c>
      <c r="E32" s="11">
        <f t="shared" si="3"/>
        <v>3.5259265700349307E-3</v>
      </c>
      <c r="F32" s="11">
        <f t="shared" si="4"/>
        <v>3.2269688985350306E-2</v>
      </c>
      <c r="G32" s="11">
        <f t="shared" si="5"/>
        <v>9.8511316870585012E-3</v>
      </c>
      <c r="H32" s="11" t="str">
        <f t="shared" si="6"/>
        <v>-</v>
      </c>
      <c r="I32" s="11">
        <f t="shared" si="7"/>
        <v>1.8892630728256879E-2</v>
      </c>
      <c r="J32" s="11">
        <f t="shared" si="8"/>
        <v>3.5259265700349307E-3</v>
      </c>
      <c r="K32" s="11">
        <f t="shared" si="9"/>
        <v>3.2269688985350306E-2</v>
      </c>
      <c r="L32" s="13">
        <v>406939</v>
      </c>
      <c r="M32" s="13"/>
      <c r="N32" s="13">
        <v>780433</v>
      </c>
      <c r="O32" s="13">
        <v>145652</v>
      </c>
      <c r="P32" s="13">
        <f t="shared" si="10"/>
        <v>1333024</v>
      </c>
      <c r="Q32" s="14">
        <f t="shared" si="11"/>
        <v>629.00517473118282</v>
      </c>
      <c r="R32" s="14" t="str">
        <f t="shared" si="11"/>
        <v>0</v>
      </c>
      <c r="S32" s="14">
        <f t="shared" si="11"/>
        <v>1206.3144489247311</v>
      </c>
      <c r="T32" s="14">
        <f t="shared" si="11"/>
        <v>225.13413978494623</v>
      </c>
      <c r="U32" s="14">
        <f t="shared" si="12"/>
        <v>2060.4537634408598</v>
      </c>
    </row>
    <row r="33" spans="1:21" x14ac:dyDescent="0.25">
      <c r="A33" s="30" t="s">
        <v>56</v>
      </c>
      <c r="B33" s="11">
        <f t="shared" si="0"/>
        <v>6.7257245407268337E-3</v>
      </c>
      <c r="C33" s="11" t="str">
        <f t="shared" si="1"/>
        <v>-</v>
      </c>
      <c r="D33" s="11">
        <f t="shared" si="2"/>
        <v>3.5940644982245695E-2</v>
      </c>
      <c r="E33" s="11">
        <f t="shared" si="3"/>
        <v>1.633886853032829E-3</v>
      </c>
      <c r="F33" s="11">
        <f t="shared" si="4"/>
        <v>4.4300256376005362E-2</v>
      </c>
      <c r="G33" s="11">
        <f t="shared" si="5"/>
        <v>6.7257245407268346E-3</v>
      </c>
      <c r="H33" s="11" t="str">
        <f t="shared" si="6"/>
        <v>-</v>
      </c>
      <c r="I33" s="11">
        <f t="shared" si="7"/>
        <v>3.5940644982245702E-2</v>
      </c>
      <c r="J33" s="11">
        <f t="shared" si="8"/>
        <v>1.6338868530328288E-3</v>
      </c>
      <c r="K33" s="11">
        <f t="shared" si="9"/>
        <v>4.4300256376005362E-2</v>
      </c>
      <c r="L33" s="13">
        <v>277832</v>
      </c>
      <c r="M33" s="13"/>
      <c r="N33" s="13">
        <v>1484667</v>
      </c>
      <c r="O33" s="13">
        <v>67494</v>
      </c>
      <c r="P33" s="13">
        <f t="shared" si="10"/>
        <v>1829993</v>
      </c>
      <c r="Q33" s="14">
        <f t="shared" si="11"/>
        <v>429.44462365591397</v>
      </c>
      <c r="R33" s="14" t="str">
        <f t="shared" si="11"/>
        <v>0</v>
      </c>
      <c r="S33" s="14">
        <f t="shared" si="11"/>
        <v>2294.848185483871</v>
      </c>
      <c r="T33" s="14">
        <f t="shared" si="11"/>
        <v>104.32540322580644</v>
      </c>
      <c r="U33" s="14">
        <f t="shared" si="12"/>
        <v>2828.6182123655913</v>
      </c>
    </row>
    <row r="34" spans="1:21" x14ac:dyDescent="0.25">
      <c r="A34" s="30" t="s">
        <v>25</v>
      </c>
      <c r="B34" s="11" t="str">
        <f t="shared" si="0"/>
        <v>-</v>
      </c>
      <c r="C34" s="11" t="str">
        <f t="shared" si="1"/>
        <v>-</v>
      </c>
      <c r="D34" s="11">
        <f t="shared" si="2"/>
        <v>3.6397278278668464E-3</v>
      </c>
      <c r="E34" s="11">
        <f t="shared" si="3"/>
        <v>6.4516670976476767E-3</v>
      </c>
      <c r="F34" s="11">
        <f t="shared" si="4"/>
        <v>1.0091394925514523E-2</v>
      </c>
      <c r="G34" s="11" t="str">
        <f t="shared" si="5"/>
        <v>-</v>
      </c>
      <c r="H34" s="11" t="str">
        <f t="shared" si="6"/>
        <v>-</v>
      </c>
      <c r="I34" s="11">
        <f t="shared" si="7"/>
        <v>3.6397278278668464E-3</v>
      </c>
      <c r="J34" s="11">
        <f t="shared" si="8"/>
        <v>6.4516670976476759E-3</v>
      </c>
      <c r="K34" s="11">
        <f t="shared" si="9"/>
        <v>1.0091394925514523E-2</v>
      </c>
      <c r="L34" s="13"/>
      <c r="M34" s="13"/>
      <c r="N34" s="13">
        <v>150353</v>
      </c>
      <c r="O34" s="13">
        <v>266511</v>
      </c>
      <c r="P34" s="13">
        <f t="shared" si="10"/>
        <v>416864</v>
      </c>
      <c r="Q34" s="14" t="str">
        <f t="shared" si="11"/>
        <v>0</v>
      </c>
      <c r="R34" s="14" t="str">
        <f t="shared" si="11"/>
        <v>0</v>
      </c>
      <c r="S34" s="14">
        <f t="shared" si="11"/>
        <v>232.4004704301075</v>
      </c>
      <c r="T34" s="14">
        <f t="shared" si="11"/>
        <v>411.94576612903222</v>
      </c>
      <c r="U34" s="14">
        <f t="shared" si="12"/>
        <v>644.3462365591397</v>
      </c>
    </row>
    <row r="35" spans="1:21" x14ac:dyDescent="0.25">
      <c r="A35" s="30" t="s">
        <v>31</v>
      </c>
      <c r="B35" s="11">
        <f t="shared" si="0"/>
        <v>2.0631797664316935E-2</v>
      </c>
      <c r="C35" s="11" t="str">
        <f t="shared" si="1"/>
        <v>-</v>
      </c>
      <c r="D35" s="11">
        <f t="shared" si="2"/>
        <v>1.1980069746784092E-2</v>
      </c>
      <c r="E35" s="11">
        <f t="shared" si="3"/>
        <v>1.6568649755459228E-2</v>
      </c>
      <c r="F35" s="11">
        <f t="shared" si="4"/>
        <v>4.9180517166560259E-2</v>
      </c>
      <c r="G35" s="11">
        <f t="shared" si="5"/>
        <v>2.0631797664316935E-2</v>
      </c>
      <c r="H35" s="11" t="str">
        <f t="shared" si="6"/>
        <v>-</v>
      </c>
      <c r="I35" s="11">
        <f t="shared" si="7"/>
        <v>1.1980069746784091E-2</v>
      </c>
      <c r="J35" s="11">
        <f t="shared" si="8"/>
        <v>1.6568649755459228E-2</v>
      </c>
      <c r="K35" s="11">
        <f t="shared" si="9"/>
        <v>4.9180517166560252E-2</v>
      </c>
      <c r="L35" s="13">
        <f>153216+699060</f>
        <v>852276</v>
      </c>
      <c r="M35" s="13"/>
      <c r="N35" s="13">
        <v>494883</v>
      </c>
      <c r="O35" s="13">
        <v>684432</v>
      </c>
      <c r="P35" s="13">
        <f t="shared" si="10"/>
        <v>2031591</v>
      </c>
      <c r="Q35" s="14">
        <f t="shared" si="11"/>
        <v>1317.3620967741933</v>
      </c>
      <c r="R35" s="14" t="str">
        <f t="shared" si="11"/>
        <v>0</v>
      </c>
      <c r="S35" s="14">
        <f t="shared" si="11"/>
        <v>764.94012096774179</v>
      </c>
      <c r="T35" s="14">
        <f t="shared" si="11"/>
        <v>1057.9258064516127</v>
      </c>
      <c r="U35" s="14">
        <f t="shared" si="12"/>
        <v>3140.2280241935478</v>
      </c>
    </row>
    <row r="36" spans="1:21" x14ac:dyDescent="0.25">
      <c r="A36" s="30" t="s">
        <v>26</v>
      </c>
      <c r="B36" s="11" t="str">
        <f t="shared" si="0"/>
        <v>-</v>
      </c>
      <c r="C36" s="11" t="str">
        <f t="shared" si="1"/>
        <v>-</v>
      </c>
      <c r="D36" s="11">
        <f t="shared" si="2"/>
        <v>2.4662894336125195E-2</v>
      </c>
      <c r="E36" s="11">
        <f t="shared" si="3"/>
        <v>1.2250229720705424E-2</v>
      </c>
      <c r="F36" s="11">
        <f t="shared" si="4"/>
        <v>3.6913124056830622E-2</v>
      </c>
      <c r="G36" s="11" t="str">
        <f t="shared" si="5"/>
        <v>-</v>
      </c>
      <c r="H36" s="11" t="str">
        <f t="shared" si="6"/>
        <v>-</v>
      </c>
      <c r="I36" s="11">
        <f t="shared" si="7"/>
        <v>2.4662894336125195E-2</v>
      </c>
      <c r="J36" s="11">
        <f t="shared" si="8"/>
        <v>1.2250229720705422E-2</v>
      </c>
      <c r="K36" s="11">
        <f t="shared" si="9"/>
        <v>3.6913124056830615E-2</v>
      </c>
      <c r="L36" s="13"/>
      <c r="M36" s="13"/>
      <c r="N36" s="13">
        <v>1018796</v>
      </c>
      <c r="O36" s="13">
        <v>506043</v>
      </c>
      <c r="P36" s="13">
        <f t="shared" si="10"/>
        <v>1524839</v>
      </c>
      <c r="Q36" s="14" t="str">
        <f t="shared" si="11"/>
        <v>0</v>
      </c>
      <c r="R36" s="14" t="str">
        <f t="shared" si="11"/>
        <v>0</v>
      </c>
      <c r="S36" s="14">
        <f t="shared" si="11"/>
        <v>1574.75188172043</v>
      </c>
      <c r="T36" s="14">
        <f t="shared" si="11"/>
        <v>782.19012096774179</v>
      </c>
      <c r="U36" s="14">
        <f t="shared" si="12"/>
        <v>2356.9420026881717</v>
      </c>
    </row>
    <row r="37" spans="1:21" x14ac:dyDescent="0.25">
      <c r="A37" s="30" t="s">
        <v>55</v>
      </c>
      <c r="B37" s="11" t="str">
        <f t="shared" si="0"/>
        <v>-</v>
      </c>
      <c r="C37" s="11" t="str">
        <f t="shared" si="1"/>
        <v>-</v>
      </c>
      <c r="D37" s="11">
        <f t="shared" si="2"/>
        <v>6.3245515041834366E-4</v>
      </c>
      <c r="E37" s="11">
        <f t="shared" si="3"/>
        <v>2.7253234645218224E-4</v>
      </c>
      <c r="F37" s="11">
        <f t="shared" si="4"/>
        <v>9.0498749687052595E-4</v>
      </c>
      <c r="G37" s="11" t="str">
        <f t="shared" si="5"/>
        <v>-</v>
      </c>
      <c r="H37" s="11" t="str">
        <f t="shared" si="6"/>
        <v>-</v>
      </c>
      <c r="I37" s="11">
        <f t="shared" si="7"/>
        <v>6.3245515041834377E-4</v>
      </c>
      <c r="J37" s="11">
        <f t="shared" si="8"/>
        <v>2.7253234645218224E-4</v>
      </c>
      <c r="K37" s="11">
        <f t="shared" si="9"/>
        <v>9.0498749687052595E-4</v>
      </c>
      <c r="L37" s="13"/>
      <c r="M37" s="13"/>
      <c r="N37" s="13">
        <v>26126</v>
      </c>
      <c r="O37" s="13">
        <v>11258</v>
      </c>
      <c r="P37" s="13">
        <f t="shared" si="10"/>
        <v>37384</v>
      </c>
      <c r="Q37" s="14" t="str">
        <f t="shared" si="11"/>
        <v>0</v>
      </c>
      <c r="R37" s="14" t="str">
        <f t="shared" si="11"/>
        <v>0</v>
      </c>
      <c r="S37" s="14">
        <f t="shared" si="11"/>
        <v>40.382930107526882</v>
      </c>
      <c r="T37" s="14">
        <f t="shared" si="11"/>
        <v>17.401478494623653</v>
      </c>
      <c r="U37" s="14">
        <f t="shared" si="12"/>
        <v>57.784408602150535</v>
      </c>
    </row>
    <row r="38" spans="1:21" x14ac:dyDescent="0.25">
      <c r="A38" s="30" t="s">
        <v>27</v>
      </c>
      <c r="B38" s="11" t="str">
        <f t="shared" si="0"/>
        <v>-</v>
      </c>
      <c r="C38" s="11" t="str">
        <f t="shared" si="1"/>
        <v>-</v>
      </c>
      <c r="D38" s="11">
        <f t="shared" si="2"/>
        <v>1.392025894300927E-3</v>
      </c>
      <c r="E38" s="11">
        <f t="shared" si="3"/>
        <v>4.6032741936366285E-3</v>
      </c>
      <c r="F38" s="11">
        <f t="shared" si="4"/>
        <v>5.995300087937556E-3</v>
      </c>
      <c r="G38" s="11" t="str">
        <f t="shared" si="5"/>
        <v>-</v>
      </c>
      <c r="H38" s="11" t="str">
        <f t="shared" si="6"/>
        <v>-</v>
      </c>
      <c r="I38" s="11">
        <f t="shared" si="7"/>
        <v>1.3920258943009268E-3</v>
      </c>
      <c r="J38" s="11">
        <f t="shared" si="8"/>
        <v>4.6032741936366294E-3</v>
      </c>
      <c r="K38" s="11">
        <f t="shared" si="9"/>
        <v>5.995300087937556E-3</v>
      </c>
      <c r="L38" s="13"/>
      <c r="M38" s="13"/>
      <c r="N38" s="13">
        <v>57503</v>
      </c>
      <c r="O38" s="13">
        <v>190156</v>
      </c>
      <c r="P38" s="13">
        <f t="shared" si="10"/>
        <v>247659</v>
      </c>
      <c r="Q38" s="14" t="str">
        <f t="shared" si="11"/>
        <v>0</v>
      </c>
      <c r="R38" s="14" t="str">
        <f t="shared" si="11"/>
        <v>0</v>
      </c>
      <c r="S38" s="14">
        <f t="shared" si="11"/>
        <v>88.882325268817183</v>
      </c>
      <c r="T38" s="14">
        <f t="shared" si="11"/>
        <v>293.92392473118281</v>
      </c>
      <c r="U38" s="14">
        <f t="shared" si="12"/>
        <v>382.80624999999998</v>
      </c>
    </row>
    <row r="39" spans="1:21" x14ac:dyDescent="0.25">
      <c r="A39" s="30" t="s">
        <v>32</v>
      </c>
      <c r="B39" s="11" t="str">
        <f t="shared" si="0"/>
        <v>-</v>
      </c>
      <c r="C39" s="11" t="str">
        <f t="shared" si="1"/>
        <v>-</v>
      </c>
      <c r="D39" s="11">
        <f t="shared" si="2"/>
        <v>3.3000428140618171E-3</v>
      </c>
      <c r="E39" s="11">
        <f t="shared" si="3"/>
        <v>1.468789091192015E-3</v>
      </c>
      <c r="F39" s="11">
        <f t="shared" si="4"/>
        <v>4.7688319052538322E-3</v>
      </c>
      <c r="G39" s="11" t="str">
        <f t="shared" si="5"/>
        <v>-</v>
      </c>
      <c r="H39" s="11" t="str">
        <f t="shared" si="6"/>
        <v>-</v>
      </c>
      <c r="I39" s="11">
        <f t="shared" si="7"/>
        <v>3.3000428140618166E-3</v>
      </c>
      <c r="J39" s="11">
        <f t="shared" si="8"/>
        <v>1.468789091192015E-3</v>
      </c>
      <c r="K39" s="11">
        <f t="shared" si="9"/>
        <v>4.7688319052538322E-3</v>
      </c>
      <c r="L39" s="13"/>
      <c r="M39" s="13"/>
      <c r="N39" s="13">
        <v>136321</v>
      </c>
      <c r="O39" s="13">
        <v>60674</v>
      </c>
      <c r="P39" s="13">
        <f t="shared" si="10"/>
        <v>196995</v>
      </c>
      <c r="Q39" s="14" t="str">
        <f t="shared" si="11"/>
        <v>0</v>
      </c>
      <c r="R39" s="14" t="str">
        <f t="shared" si="11"/>
        <v>0</v>
      </c>
      <c r="S39" s="14">
        <f t="shared" si="11"/>
        <v>210.71122311827955</v>
      </c>
      <c r="T39" s="14">
        <f t="shared" si="11"/>
        <v>93.783736559139768</v>
      </c>
      <c r="U39" s="14">
        <f t="shared" si="12"/>
        <v>304.49495967741933</v>
      </c>
    </row>
    <row r="40" spans="1:21" x14ac:dyDescent="0.25">
      <c r="A40" s="30" t="s">
        <v>28</v>
      </c>
      <c r="B40" s="11" t="str">
        <f t="shared" si="0"/>
        <v>-</v>
      </c>
      <c r="C40" s="11" t="str">
        <f t="shared" si="1"/>
        <v>-</v>
      </c>
      <c r="D40" s="11">
        <f t="shared" si="2"/>
        <v>8.5788379819166146E-3</v>
      </c>
      <c r="E40" s="11">
        <f t="shared" si="3"/>
        <v>1.1622955057242201E-2</v>
      </c>
      <c r="F40" s="11">
        <f t="shared" si="4"/>
        <v>2.0201793039158818E-2</v>
      </c>
      <c r="G40" s="11" t="str">
        <f t="shared" si="5"/>
        <v>-</v>
      </c>
      <c r="H40" s="11" t="str">
        <f t="shared" si="6"/>
        <v>-</v>
      </c>
      <c r="I40" s="11">
        <f t="shared" si="7"/>
        <v>8.5788379819166146E-3</v>
      </c>
      <c r="J40" s="11">
        <f t="shared" si="8"/>
        <v>1.1622955057242203E-2</v>
      </c>
      <c r="K40" s="11">
        <f t="shared" si="9"/>
        <v>2.0201793039158814E-2</v>
      </c>
      <c r="L40" s="13"/>
      <c r="M40" s="13"/>
      <c r="N40" s="13">
        <v>354382</v>
      </c>
      <c r="O40" s="13">
        <v>480131</v>
      </c>
      <c r="P40" s="13">
        <f t="shared" si="10"/>
        <v>834513</v>
      </c>
      <c r="Q40" s="14" t="str">
        <f t="shared" si="11"/>
        <v>0</v>
      </c>
      <c r="R40" s="14" t="str">
        <f t="shared" si="11"/>
        <v>0</v>
      </c>
      <c r="S40" s="14">
        <f t="shared" si="11"/>
        <v>547.76787634408595</v>
      </c>
      <c r="T40" s="14">
        <f t="shared" si="11"/>
        <v>742.13797043010754</v>
      </c>
      <c r="U40" s="14">
        <f t="shared" si="12"/>
        <v>1289.9058467741934</v>
      </c>
    </row>
    <row r="41" spans="1:21" x14ac:dyDescent="0.25">
      <c r="A41" s="32" t="s">
        <v>0</v>
      </c>
      <c r="B41" s="11">
        <f t="shared" ref="B41:O41" si="13">SUM(B8:B40)</f>
        <v>0.13794140714323308</v>
      </c>
      <c r="C41" s="11">
        <f t="shared" si="13"/>
        <v>1.1776408827375474E-2</v>
      </c>
      <c r="D41" s="11">
        <f t="shared" si="13"/>
        <v>0.55290562619765471</v>
      </c>
      <c r="E41" s="11">
        <f t="shared" si="13"/>
        <v>0.29737655783173672</v>
      </c>
      <c r="F41" s="11">
        <f t="shared" si="13"/>
        <v>0.99999999999999978</v>
      </c>
      <c r="G41" s="11">
        <f t="shared" si="13"/>
        <v>0.13794140714323308</v>
      </c>
      <c r="H41" s="11">
        <f t="shared" si="13"/>
        <v>1.1776408827375476E-2</v>
      </c>
      <c r="I41" s="11">
        <f t="shared" si="13"/>
        <v>0.55290562619765471</v>
      </c>
      <c r="J41" s="11">
        <f t="shared" si="13"/>
        <v>0.29737655783173672</v>
      </c>
      <c r="K41" s="11">
        <f t="shared" si="13"/>
        <v>0.99999999999999978</v>
      </c>
      <c r="L41" s="13">
        <f t="shared" si="13"/>
        <v>5698202</v>
      </c>
      <c r="M41" s="13">
        <f t="shared" si="13"/>
        <v>486470</v>
      </c>
      <c r="N41" s="13">
        <f t="shared" si="13"/>
        <v>22839900</v>
      </c>
      <c r="O41" s="13">
        <f t="shared" si="13"/>
        <v>12284286</v>
      </c>
      <c r="P41" s="13">
        <f>SUM(L41:O41)</f>
        <v>41308858</v>
      </c>
      <c r="Q41" s="14">
        <f t="shared" si="11"/>
        <v>8807.7047043010753</v>
      </c>
      <c r="R41" s="14">
        <f t="shared" si="11"/>
        <v>751.9361559139785</v>
      </c>
      <c r="S41" s="14">
        <f t="shared" si="11"/>
        <v>35303.608870967735</v>
      </c>
      <c r="T41" s="14">
        <f t="shared" si="11"/>
        <v>18987.807661290321</v>
      </c>
      <c r="U41" s="14">
        <f t="shared" si="12"/>
        <v>63851.057392473114</v>
      </c>
    </row>
    <row r="42" spans="1:21" x14ac:dyDescent="0.25">
      <c r="Q42" s="14" t="str">
        <f t="shared" si="11"/>
        <v>0</v>
      </c>
      <c r="R42" s="14" t="str">
        <f t="shared" si="11"/>
        <v>0</v>
      </c>
      <c r="S42" s="14" t="str">
        <f t="shared" si="11"/>
        <v>0</v>
      </c>
      <c r="T42" s="14" t="str">
        <f t="shared" si="11"/>
        <v>0</v>
      </c>
      <c r="U42" s="14">
        <f t="shared" si="12"/>
        <v>0</v>
      </c>
    </row>
    <row r="43" spans="1:21" x14ac:dyDescent="0.25">
      <c r="A43" s="26" t="s">
        <v>46</v>
      </c>
      <c r="B43" s="6" t="s">
        <v>78</v>
      </c>
      <c r="Q43" s="6"/>
      <c r="R43" s="6"/>
      <c r="S43" s="6"/>
      <c r="T43" s="6"/>
      <c r="U43" s="6"/>
    </row>
    <row r="44" spans="1:21" x14ac:dyDescent="0.25">
      <c r="A44" s="26"/>
      <c r="B44" s="6" t="s">
        <v>79</v>
      </c>
      <c r="Q44" s="6"/>
      <c r="R44" s="6"/>
      <c r="S44" s="6"/>
      <c r="T44" s="6"/>
      <c r="U44" s="6"/>
    </row>
    <row r="45" spans="1:21" x14ac:dyDescent="0.25">
      <c r="B45" s="6" t="s">
        <v>90</v>
      </c>
      <c r="Q45" s="6"/>
      <c r="R45" s="6"/>
      <c r="S45" s="6"/>
      <c r="T45" s="6"/>
      <c r="U45" s="6"/>
    </row>
    <row r="46" spans="1:21" x14ac:dyDescent="0.25">
      <c r="B46" s="6" t="s">
        <v>91</v>
      </c>
      <c r="Q46" s="14" t="str">
        <f t="shared" ref="Q46:T46" si="14">IF(L46/744*1.15=0,"0",L46/744*1.15)</f>
        <v>0</v>
      </c>
      <c r="R46" s="14" t="str">
        <f t="shared" si="14"/>
        <v>0</v>
      </c>
      <c r="S46" s="14" t="str">
        <f t="shared" si="14"/>
        <v>0</v>
      </c>
      <c r="T46" s="14" t="str">
        <f t="shared" si="14"/>
        <v>0</v>
      </c>
      <c r="U46" s="14">
        <f t="shared" ref="U46" si="15">Q46+R46+S46+T46</f>
        <v>0</v>
      </c>
    </row>
    <row r="50" spans="1:257" x14ac:dyDescent="0.25">
      <c r="Q50" s="6"/>
      <c r="R50" s="6"/>
      <c r="S50" s="6"/>
      <c r="T50" s="6"/>
      <c r="U50" s="6"/>
    </row>
    <row r="51" spans="1:257" ht="15.75" x14ac:dyDescent="0.25">
      <c r="A51" s="34" t="s">
        <v>76</v>
      </c>
      <c r="B51" s="35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  <c r="IK51" s="36"/>
      <c r="IL51" s="36"/>
      <c r="IM51" s="36"/>
      <c r="IN51" s="36"/>
      <c r="IO51" s="36"/>
      <c r="IP51" s="36"/>
      <c r="IQ51" s="36"/>
      <c r="IR51" s="36"/>
      <c r="IS51" s="36"/>
      <c r="IT51" s="36"/>
      <c r="IU51" s="36"/>
      <c r="IV51" s="36"/>
      <c r="IW51" s="36"/>
    </row>
    <row r="52" spans="1:257" ht="15.75" x14ac:dyDescent="0.25">
      <c r="A52" s="34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  <c r="IK52" s="36"/>
      <c r="IL52" s="36"/>
      <c r="IM52" s="36"/>
      <c r="IN52" s="36"/>
      <c r="IO52" s="36"/>
      <c r="IP52" s="36"/>
      <c r="IQ52" s="36"/>
      <c r="IR52" s="36"/>
      <c r="IS52" s="36"/>
      <c r="IT52" s="36"/>
      <c r="IU52" s="36"/>
      <c r="IV52" s="36"/>
      <c r="IW52" s="36"/>
    </row>
    <row r="53" spans="1:257" ht="15.75" x14ac:dyDescent="0.25">
      <c r="A53" s="34" t="s">
        <v>77</v>
      </c>
      <c r="B53" s="35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  <c r="CP53" s="36"/>
      <c r="CQ53" s="36"/>
      <c r="CR53" s="36"/>
      <c r="CS53" s="36"/>
      <c r="CT53" s="36"/>
      <c r="CU53" s="36"/>
      <c r="CV53" s="36"/>
      <c r="CW53" s="36"/>
      <c r="CX53" s="36"/>
      <c r="CY53" s="36"/>
      <c r="CZ53" s="36"/>
      <c r="DA53" s="36"/>
      <c r="DB53" s="36"/>
      <c r="DC53" s="36"/>
      <c r="DD53" s="36"/>
      <c r="DE53" s="36"/>
      <c r="DF53" s="36"/>
      <c r="DG53" s="36"/>
      <c r="DH53" s="36"/>
      <c r="DI53" s="36"/>
      <c r="DJ53" s="36"/>
      <c r="DK53" s="36"/>
      <c r="DL53" s="36"/>
      <c r="DM53" s="36"/>
      <c r="DN53" s="36"/>
      <c r="DO53" s="36"/>
      <c r="DP53" s="36"/>
      <c r="DQ53" s="36"/>
      <c r="DR53" s="36"/>
      <c r="DS53" s="36"/>
      <c r="DT53" s="36"/>
      <c r="DU53" s="36"/>
      <c r="DV53" s="36"/>
      <c r="DW53" s="36"/>
      <c r="DX53" s="36"/>
      <c r="DY53" s="36"/>
      <c r="DZ53" s="36"/>
      <c r="EA53" s="36"/>
      <c r="EB53" s="36"/>
      <c r="EC53" s="36"/>
      <c r="ED53" s="36"/>
      <c r="EE53" s="36"/>
      <c r="EF53" s="36"/>
      <c r="EG53" s="36"/>
      <c r="EH53" s="36"/>
      <c r="EI53" s="36"/>
      <c r="EJ53" s="36"/>
      <c r="EK53" s="36"/>
      <c r="EL53" s="36"/>
      <c r="EM53" s="36"/>
      <c r="EN53" s="36"/>
      <c r="EO53" s="36"/>
      <c r="EP53" s="36"/>
      <c r="EQ53" s="36"/>
      <c r="ER53" s="36"/>
      <c r="ES53" s="36"/>
      <c r="ET53" s="36"/>
      <c r="EU53" s="36"/>
      <c r="EV53" s="36"/>
      <c r="EW53" s="36"/>
      <c r="EX53" s="36"/>
      <c r="EY53" s="36"/>
      <c r="EZ53" s="36"/>
      <c r="FA53" s="36"/>
      <c r="FB53" s="36"/>
      <c r="FC53" s="36"/>
      <c r="FD53" s="36"/>
      <c r="FE53" s="36"/>
      <c r="FF53" s="36"/>
      <c r="FG53" s="36"/>
      <c r="FH53" s="36"/>
      <c r="FI53" s="36"/>
      <c r="FJ53" s="36"/>
      <c r="FK53" s="36"/>
      <c r="FL53" s="36"/>
      <c r="FM53" s="36"/>
      <c r="FN53" s="36"/>
      <c r="FO53" s="36"/>
      <c r="FP53" s="36"/>
      <c r="FQ53" s="36"/>
      <c r="FR53" s="36"/>
      <c r="FS53" s="36"/>
      <c r="FT53" s="36"/>
      <c r="FU53" s="36"/>
      <c r="FV53" s="36"/>
      <c r="FW53" s="36"/>
      <c r="FX53" s="36"/>
      <c r="FY53" s="36"/>
      <c r="FZ53" s="36"/>
      <c r="GA53" s="36"/>
      <c r="GB53" s="36"/>
      <c r="GC53" s="36"/>
      <c r="GD53" s="36"/>
      <c r="GE53" s="36"/>
      <c r="GF53" s="36"/>
      <c r="GG53" s="36"/>
      <c r="GH53" s="36"/>
      <c r="GI53" s="36"/>
      <c r="GJ53" s="36"/>
      <c r="GK53" s="36"/>
      <c r="GL53" s="36"/>
      <c r="GM53" s="36"/>
      <c r="GN53" s="36"/>
      <c r="GO53" s="36"/>
      <c r="GP53" s="36"/>
      <c r="GQ53" s="36"/>
      <c r="GR53" s="36"/>
      <c r="GS53" s="36"/>
      <c r="GT53" s="36"/>
      <c r="GU53" s="36"/>
      <c r="GV53" s="36"/>
      <c r="GW53" s="36"/>
      <c r="GX53" s="36"/>
      <c r="GY53" s="36"/>
      <c r="GZ53" s="36"/>
      <c r="HA53" s="36"/>
      <c r="HB53" s="36"/>
      <c r="HC53" s="36"/>
      <c r="HD53" s="36"/>
      <c r="HE53" s="36"/>
      <c r="HF53" s="36"/>
      <c r="HG53" s="36"/>
      <c r="HH53" s="36"/>
      <c r="HI53" s="36"/>
      <c r="HJ53" s="36"/>
      <c r="HK53" s="36"/>
      <c r="HL53" s="36"/>
      <c r="HM53" s="36"/>
      <c r="HN53" s="36"/>
      <c r="HO53" s="36"/>
      <c r="HP53" s="36"/>
      <c r="HQ53" s="36"/>
      <c r="HR53" s="36"/>
      <c r="HS53" s="36"/>
      <c r="HT53" s="36"/>
      <c r="HU53" s="36"/>
      <c r="HV53" s="36"/>
      <c r="HW53" s="36"/>
      <c r="HX53" s="36"/>
      <c r="HY53" s="36"/>
      <c r="HZ53" s="36"/>
      <c r="IA53" s="36"/>
      <c r="IB53" s="36"/>
      <c r="IC53" s="36"/>
      <c r="ID53" s="36"/>
      <c r="IE53" s="36"/>
      <c r="IF53" s="36"/>
      <c r="IG53" s="36"/>
      <c r="IH53" s="36"/>
      <c r="II53" s="36"/>
      <c r="IJ53" s="36"/>
      <c r="IK53" s="36"/>
      <c r="IL53" s="36"/>
      <c r="IM53" s="36"/>
      <c r="IN53" s="36"/>
      <c r="IO53" s="36"/>
      <c r="IP53" s="36"/>
      <c r="IQ53" s="36"/>
      <c r="IR53" s="36"/>
      <c r="IS53" s="36"/>
      <c r="IT53" s="36"/>
      <c r="IU53" s="36"/>
      <c r="IV53" s="36"/>
      <c r="IW53" s="36"/>
    </row>
  </sheetData>
  <mergeCells count="7">
    <mergeCell ref="Q5:U6"/>
    <mergeCell ref="A2:K2"/>
    <mergeCell ref="A3:K3"/>
    <mergeCell ref="A5:A6"/>
    <mergeCell ref="B5:F6"/>
    <mergeCell ref="G5:K6"/>
    <mergeCell ref="L5:P6"/>
  </mergeCells>
  <pageMargins left="0.7" right="0.7" top="0.75" bottom="0.75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W57"/>
  <sheetViews>
    <sheetView view="pageBreakPreview" topLeftCell="A22" zoomScaleNormal="100" zoomScaleSheetLayoutView="100" workbookViewId="0">
      <selection activeCell="M49" sqref="M49"/>
    </sheetView>
  </sheetViews>
  <sheetFormatPr defaultRowHeight="15" x14ac:dyDescent="0.25"/>
  <cols>
    <col min="1" max="1" width="38" style="6" customWidth="1"/>
    <col min="2" max="13" width="9.140625" style="6" customWidth="1"/>
    <col min="14" max="14" width="9.85546875" style="6" customWidth="1"/>
    <col min="15" max="15" width="10.140625" style="6" customWidth="1"/>
    <col min="16" max="16" width="10" style="6" customWidth="1"/>
    <col min="17" max="21" width="9.140625" style="28" customWidth="1"/>
    <col min="22" max="24" width="9.140625" style="6" customWidth="1"/>
    <col min="25" max="16384" width="9.140625" style="6"/>
  </cols>
  <sheetData>
    <row r="1" spans="1:21" ht="15.75" x14ac:dyDescent="0.25">
      <c r="J1" s="59" t="s">
        <v>100</v>
      </c>
    </row>
    <row r="2" spans="1:21" ht="15.75" x14ac:dyDescent="0.25">
      <c r="A2" s="67" t="s">
        <v>33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21" ht="15.75" x14ac:dyDescent="0.25">
      <c r="A3" s="67" t="s">
        <v>66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21" x14ac:dyDescent="0.25">
      <c r="A4" s="18" t="s">
        <v>34</v>
      </c>
      <c r="B4" s="4"/>
      <c r="C4" s="4"/>
      <c r="D4" s="4"/>
      <c r="E4" s="4"/>
      <c r="F4" s="5"/>
      <c r="K4" s="7"/>
    </row>
    <row r="5" spans="1:21" x14ac:dyDescent="0.25">
      <c r="A5" s="68" t="s">
        <v>35</v>
      </c>
      <c r="B5" s="66" t="s">
        <v>29</v>
      </c>
      <c r="C5" s="66"/>
      <c r="D5" s="66"/>
      <c r="E5" s="66"/>
      <c r="F5" s="66"/>
      <c r="G5" s="66" t="s">
        <v>36</v>
      </c>
      <c r="H5" s="66"/>
      <c r="I5" s="66"/>
      <c r="J5" s="66"/>
      <c r="K5" s="66"/>
      <c r="L5" s="66" t="s">
        <v>42</v>
      </c>
      <c r="M5" s="66"/>
      <c r="N5" s="66"/>
      <c r="O5" s="66"/>
      <c r="P5" s="66"/>
      <c r="Q5" s="66" t="s">
        <v>43</v>
      </c>
      <c r="R5" s="66"/>
      <c r="S5" s="66"/>
      <c r="T5" s="66"/>
      <c r="U5" s="66"/>
    </row>
    <row r="6" spans="1:21" x14ac:dyDescent="0.25">
      <c r="A6" s="69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</row>
    <row r="7" spans="1:21" x14ac:dyDescent="0.25">
      <c r="A7" s="29" t="s">
        <v>37</v>
      </c>
      <c r="B7" s="9" t="s">
        <v>1</v>
      </c>
      <c r="C7" s="9" t="s">
        <v>39</v>
      </c>
      <c r="D7" s="9" t="s">
        <v>40</v>
      </c>
      <c r="E7" s="9" t="s">
        <v>2</v>
      </c>
      <c r="F7" s="9" t="s">
        <v>41</v>
      </c>
      <c r="G7" s="9" t="s">
        <v>1</v>
      </c>
      <c r="H7" s="9" t="s">
        <v>39</v>
      </c>
      <c r="I7" s="9" t="s">
        <v>40</v>
      </c>
      <c r="J7" s="9" t="s">
        <v>2</v>
      </c>
      <c r="K7" s="9" t="s">
        <v>41</v>
      </c>
      <c r="L7" s="9" t="s">
        <v>1</v>
      </c>
      <c r="M7" s="9" t="s">
        <v>39</v>
      </c>
      <c r="N7" s="9" t="s">
        <v>40</v>
      </c>
      <c r="O7" s="9" t="s">
        <v>2</v>
      </c>
      <c r="P7" s="9" t="s">
        <v>41</v>
      </c>
      <c r="Q7" s="9" t="s">
        <v>1</v>
      </c>
      <c r="R7" s="9" t="s">
        <v>39</v>
      </c>
      <c r="S7" s="9" t="s">
        <v>40</v>
      </c>
      <c r="T7" s="9" t="s">
        <v>2</v>
      </c>
      <c r="U7" s="9" t="s">
        <v>41</v>
      </c>
    </row>
    <row r="8" spans="1:21" x14ac:dyDescent="0.25">
      <c r="A8" s="30" t="s">
        <v>44</v>
      </c>
      <c r="B8" s="11" t="str">
        <f t="shared" ref="B8:B44" si="0">IF(L8/$P$45=0,"-",L8/$P$45)</f>
        <v>-</v>
      </c>
      <c r="C8" s="11">
        <f t="shared" ref="C8:E8" si="1">M8/$P$45</f>
        <v>0</v>
      </c>
      <c r="D8" s="11">
        <f t="shared" si="1"/>
        <v>1.3365864007217002E-3</v>
      </c>
      <c r="E8" s="11">
        <f t="shared" si="1"/>
        <v>5.2579985384548452E-4</v>
      </c>
      <c r="F8" s="11">
        <f t="shared" ref="F8:F44" si="2">P8/$P$45</f>
        <v>1.8623862545671848E-3</v>
      </c>
      <c r="G8" s="11" t="str">
        <f t="shared" ref="G8:G44" si="3">IF(Q8/$U$45=0,"-",Q8/$U$45)</f>
        <v>-</v>
      </c>
      <c r="H8" s="11" t="str">
        <f t="shared" ref="H8:H44" si="4">IF(R8/$U$45=0,"-",R8/$U$45)</f>
        <v>-</v>
      </c>
      <c r="I8" s="11">
        <f t="shared" ref="I8:I44" si="5">IF(S8/$U$45=0,"-",S8/$U$45)</f>
        <v>1.3365864007217005E-3</v>
      </c>
      <c r="J8" s="11">
        <f t="shared" ref="J8:J44" si="6">IF(T8/$U$45=0,"-",T8/$U$45)</f>
        <v>5.2579985384548463E-4</v>
      </c>
      <c r="K8" s="11">
        <f t="shared" ref="K8:K44" si="7">IF(U8/$U$45=0,"-",U8/$U$45)</f>
        <v>1.862386254567185E-3</v>
      </c>
      <c r="L8" s="13"/>
      <c r="M8" s="13"/>
      <c r="N8" s="13">
        <v>67414</v>
      </c>
      <c r="O8" s="13">
        <v>26520</v>
      </c>
      <c r="P8" s="13">
        <f>SUM(L8:O8)</f>
        <v>93934</v>
      </c>
      <c r="Q8" s="14" t="str">
        <f>IF(L8/744*1.15=0,"0",L8/744*1.15)</f>
        <v>0</v>
      </c>
      <c r="R8" s="14" t="str">
        <f>IF(M8/744*1.15=0,"0",M8/744*1.15)</f>
        <v>0</v>
      </c>
      <c r="S8" s="14">
        <f>IF(N8/744*1.15=0,"0",N8/744*1.15)</f>
        <v>104.20174731182794</v>
      </c>
      <c r="T8" s="14">
        <f>IF(O8/744*1.15=0,"0",O8/744*1.15)</f>
        <v>40.991935483870968</v>
      </c>
      <c r="U8" s="14">
        <f>Q8+R8+S8+T8</f>
        <v>145.19368279569892</v>
      </c>
    </row>
    <row r="9" spans="1:21" x14ac:dyDescent="0.25">
      <c r="A9" s="30" t="s">
        <v>3</v>
      </c>
      <c r="B9" s="11">
        <f t="shared" si="0"/>
        <v>5.9443537172038262E-3</v>
      </c>
      <c r="C9" s="11" t="str">
        <f t="shared" ref="C9:C44" si="8">IF(M9/$P$45=0,"-",M9/$P$45)</f>
        <v>-</v>
      </c>
      <c r="D9" s="11" t="str">
        <f t="shared" ref="D9:D44" si="9">IF(N9/$P$45=0,"-",N9/$P$45)</f>
        <v>-</v>
      </c>
      <c r="E9" s="11" t="str">
        <f t="shared" ref="E9:E44" si="10">IF(O9/$P$45=0,"-",O9/$P$45)</f>
        <v>-</v>
      </c>
      <c r="F9" s="11">
        <f t="shared" si="2"/>
        <v>5.9443537172038262E-3</v>
      </c>
      <c r="G9" s="11">
        <f t="shared" si="3"/>
        <v>5.944353717203827E-3</v>
      </c>
      <c r="H9" s="11" t="str">
        <f t="shared" si="4"/>
        <v>-</v>
      </c>
      <c r="I9" s="11" t="str">
        <f t="shared" si="5"/>
        <v>-</v>
      </c>
      <c r="J9" s="11" t="str">
        <f t="shared" si="6"/>
        <v>-</v>
      </c>
      <c r="K9" s="11">
        <f t="shared" si="7"/>
        <v>5.944353717203827E-3</v>
      </c>
      <c r="L9" s="13">
        <v>299818</v>
      </c>
      <c r="M9" s="13"/>
      <c r="N9" s="13"/>
      <c r="O9" s="13"/>
      <c r="P9" s="13">
        <f t="shared" ref="P9:P44" si="11">SUM(L9:O9)</f>
        <v>299818</v>
      </c>
      <c r="Q9" s="14">
        <f t="shared" ref="Q9:T46" si="12">IF(L9/744*1.15=0,"0",L9/744*1.15)</f>
        <v>463.42836021505377</v>
      </c>
      <c r="R9" s="14" t="str">
        <f t="shared" si="12"/>
        <v>0</v>
      </c>
      <c r="S9" s="14" t="str">
        <f t="shared" si="12"/>
        <v>0</v>
      </c>
      <c r="T9" s="14" t="str">
        <f t="shared" si="12"/>
        <v>0</v>
      </c>
      <c r="U9" s="14">
        <f t="shared" ref="U9:U46" si="13">Q9+R9+S9+T9</f>
        <v>463.42836021505377</v>
      </c>
    </row>
    <row r="10" spans="1:21" x14ac:dyDescent="0.25">
      <c r="A10" s="30" t="s">
        <v>4</v>
      </c>
      <c r="B10" s="11" t="str">
        <f t="shared" si="0"/>
        <v>-</v>
      </c>
      <c r="C10" s="11" t="str">
        <f t="shared" si="8"/>
        <v>-</v>
      </c>
      <c r="D10" s="11">
        <f t="shared" si="9"/>
        <v>2.2002840362086794E-2</v>
      </c>
      <c r="E10" s="11">
        <f t="shared" si="10"/>
        <v>1.6275924314457759E-2</v>
      </c>
      <c r="F10" s="11">
        <f t="shared" si="2"/>
        <v>3.8278764676544549E-2</v>
      </c>
      <c r="G10" s="11" t="str">
        <f t="shared" si="3"/>
        <v>-</v>
      </c>
      <c r="H10" s="11" t="str">
        <f t="shared" si="4"/>
        <v>-</v>
      </c>
      <c r="I10" s="11">
        <f t="shared" si="5"/>
        <v>2.2002840362086797E-2</v>
      </c>
      <c r="J10" s="11">
        <f t="shared" si="6"/>
        <v>1.6275924314457763E-2</v>
      </c>
      <c r="K10" s="11">
        <f t="shared" si="7"/>
        <v>3.8278764676544556E-2</v>
      </c>
      <c r="L10" s="13"/>
      <c r="M10" s="13"/>
      <c r="N10" s="13">
        <v>1109767</v>
      </c>
      <c r="O10" s="13">
        <v>820916</v>
      </c>
      <c r="P10" s="13">
        <f t="shared" si="11"/>
        <v>1930683</v>
      </c>
      <c r="Q10" s="14" t="str">
        <f t="shared" si="12"/>
        <v>0</v>
      </c>
      <c r="R10" s="14" t="str">
        <f t="shared" si="12"/>
        <v>0</v>
      </c>
      <c r="S10" s="14">
        <f t="shared" si="12"/>
        <v>1715.3656586021505</v>
      </c>
      <c r="T10" s="14">
        <f t="shared" si="12"/>
        <v>1268.8889784946236</v>
      </c>
      <c r="U10" s="14">
        <f t="shared" si="13"/>
        <v>2984.2546370967739</v>
      </c>
    </row>
    <row r="11" spans="1:21" x14ac:dyDescent="0.25">
      <c r="A11" s="30" t="s">
        <v>51</v>
      </c>
      <c r="B11" s="11" t="str">
        <f t="shared" si="0"/>
        <v>-</v>
      </c>
      <c r="C11" s="11" t="str">
        <f t="shared" si="8"/>
        <v>-</v>
      </c>
      <c r="D11" s="11">
        <f t="shared" si="9"/>
        <v>1.7018844613230163E-2</v>
      </c>
      <c r="E11" s="11">
        <f t="shared" si="10"/>
        <v>1.0533404779461587E-2</v>
      </c>
      <c r="F11" s="11">
        <f t="shared" si="2"/>
        <v>2.7552249392691748E-2</v>
      </c>
      <c r="G11" s="11" t="str">
        <f t="shared" si="3"/>
        <v>-</v>
      </c>
      <c r="H11" s="11" t="str">
        <f t="shared" si="4"/>
        <v>-</v>
      </c>
      <c r="I11" s="11">
        <f t="shared" si="5"/>
        <v>1.7018844613230163E-2</v>
      </c>
      <c r="J11" s="11">
        <f t="shared" si="6"/>
        <v>1.053340477946159E-2</v>
      </c>
      <c r="K11" s="11">
        <f t="shared" si="7"/>
        <v>2.7552249392691752E-2</v>
      </c>
      <c r="L11" s="13"/>
      <c r="M11" s="13"/>
      <c r="N11" s="13">
        <v>858387</v>
      </c>
      <c r="O11" s="13">
        <v>531278</v>
      </c>
      <c r="P11" s="13">
        <f t="shared" si="11"/>
        <v>1389665</v>
      </c>
      <c r="Q11" s="14" t="str">
        <f t="shared" si="12"/>
        <v>0</v>
      </c>
      <c r="R11" s="14" t="str">
        <f t="shared" si="12"/>
        <v>0</v>
      </c>
      <c r="S11" s="14">
        <f t="shared" si="12"/>
        <v>1326.8078629032257</v>
      </c>
      <c r="T11" s="14">
        <f t="shared" si="12"/>
        <v>821.19583333333333</v>
      </c>
      <c r="U11" s="14">
        <f t="shared" si="13"/>
        <v>2148.0036962365589</v>
      </c>
    </row>
    <row r="12" spans="1:21" x14ac:dyDescent="0.25">
      <c r="A12" s="30" t="s">
        <v>6</v>
      </c>
      <c r="B12" s="11" t="str">
        <f t="shared" si="0"/>
        <v>-</v>
      </c>
      <c r="C12" s="11" t="str">
        <f t="shared" si="8"/>
        <v>-</v>
      </c>
      <c r="D12" s="11">
        <f t="shared" si="9"/>
        <v>2.3028725046759756E-3</v>
      </c>
      <c r="E12" s="11">
        <f t="shared" si="10"/>
        <v>7.5316665489862352E-3</v>
      </c>
      <c r="F12" s="11">
        <f t="shared" si="2"/>
        <v>9.8345390536622099E-3</v>
      </c>
      <c r="G12" s="11" t="str">
        <f t="shared" si="3"/>
        <v>-</v>
      </c>
      <c r="H12" s="11" t="str">
        <f t="shared" si="4"/>
        <v>-</v>
      </c>
      <c r="I12" s="11">
        <f t="shared" si="5"/>
        <v>2.302872504675976E-3</v>
      </c>
      <c r="J12" s="11">
        <f t="shared" si="6"/>
        <v>7.5316665489862352E-3</v>
      </c>
      <c r="K12" s="11">
        <f t="shared" si="7"/>
        <v>9.8345390536622116E-3</v>
      </c>
      <c r="L12" s="13"/>
      <c r="M12" s="13"/>
      <c r="N12" s="13">
        <v>116151</v>
      </c>
      <c r="O12" s="13">
        <v>379878</v>
      </c>
      <c r="P12" s="13">
        <f t="shared" si="11"/>
        <v>496029</v>
      </c>
      <c r="Q12" s="14" t="str">
        <f t="shared" si="12"/>
        <v>0</v>
      </c>
      <c r="R12" s="14" t="str">
        <f t="shared" si="12"/>
        <v>0</v>
      </c>
      <c r="S12" s="14">
        <f t="shared" si="12"/>
        <v>179.53447580645161</v>
      </c>
      <c r="T12" s="14">
        <f t="shared" si="12"/>
        <v>587.17701612903215</v>
      </c>
      <c r="U12" s="14">
        <f t="shared" si="13"/>
        <v>766.71149193548376</v>
      </c>
    </row>
    <row r="13" spans="1:21" x14ac:dyDescent="0.25">
      <c r="A13" s="30" t="s">
        <v>52</v>
      </c>
      <c r="B13" s="11">
        <f t="shared" si="0"/>
        <v>5.298791248986142E-2</v>
      </c>
      <c r="C13" s="11">
        <f t="shared" si="8"/>
        <v>9.1440540065287641E-3</v>
      </c>
      <c r="D13" s="11">
        <f t="shared" si="9"/>
        <v>0.15997918942865036</v>
      </c>
      <c r="E13" s="11">
        <f t="shared" si="10"/>
        <v>4.2646650679615046E-2</v>
      </c>
      <c r="F13" s="11">
        <f t="shared" si="2"/>
        <v>0.26475780660465559</v>
      </c>
      <c r="G13" s="11">
        <f t="shared" si="3"/>
        <v>5.298791248986142E-2</v>
      </c>
      <c r="H13" s="11">
        <f t="shared" si="4"/>
        <v>9.1440540065287658E-3</v>
      </c>
      <c r="I13" s="11">
        <f t="shared" si="5"/>
        <v>0.15997918942865039</v>
      </c>
      <c r="J13" s="11">
        <f t="shared" si="6"/>
        <v>4.2646650679615046E-2</v>
      </c>
      <c r="K13" s="11">
        <f t="shared" si="7"/>
        <v>0.26475780660465559</v>
      </c>
      <c r="L13" s="13">
        <v>2672574.7999999998</v>
      </c>
      <c r="M13" s="13">
        <v>461202.7</v>
      </c>
      <c r="N13" s="13">
        <v>8068941.1999999993</v>
      </c>
      <c r="O13" s="13">
        <v>2150988</v>
      </c>
      <c r="P13" s="13">
        <f t="shared" si="11"/>
        <v>13353706.699999999</v>
      </c>
      <c r="Q13" s="14">
        <f t="shared" si="12"/>
        <v>4130.995994623655</v>
      </c>
      <c r="R13" s="14">
        <f t="shared" si="12"/>
        <v>712.88051747311829</v>
      </c>
      <c r="S13" s="14">
        <f t="shared" si="12"/>
        <v>12472.153736559138</v>
      </c>
      <c r="T13" s="14">
        <f t="shared" si="12"/>
        <v>3324.7798387096768</v>
      </c>
      <c r="U13" s="14">
        <f t="shared" si="13"/>
        <v>20640.810087365586</v>
      </c>
    </row>
    <row r="14" spans="1:21" x14ac:dyDescent="0.25">
      <c r="A14" s="30" t="s">
        <v>54</v>
      </c>
      <c r="B14" s="11" t="str">
        <f t="shared" si="0"/>
        <v>-</v>
      </c>
      <c r="C14" s="11" t="str">
        <f t="shared" si="8"/>
        <v>-</v>
      </c>
      <c r="D14" s="11">
        <f t="shared" si="9"/>
        <v>2.4628528599052067E-3</v>
      </c>
      <c r="E14" s="11">
        <f t="shared" si="10"/>
        <v>1.378836758509963E-3</v>
      </c>
      <c r="F14" s="11">
        <f t="shared" si="2"/>
        <v>3.8416896184151699E-3</v>
      </c>
      <c r="G14" s="11" t="str">
        <f t="shared" si="3"/>
        <v>-</v>
      </c>
      <c r="H14" s="11" t="str">
        <f t="shared" si="4"/>
        <v>-</v>
      </c>
      <c r="I14" s="11">
        <f t="shared" si="5"/>
        <v>2.4628528599052071E-3</v>
      </c>
      <c r="J14" s="11">
        <f t="shared" si="6"/>
        <v>1.3788367585099632E-3</v>
      </c>
      <c r="K14" s="11">
        <f t="shared" si="7"/>
        <v>3.8416896184151699E-3</v>
      </c>
      <c r="L14" s="13"/>
      <c r="M14" s="13"/>
      <c r="N14" s="13">
        <v>124220</v>
      </c>
      <c r="O14" s="13">
        <v>69545</v>
      </c>
      <c r="P14" s="13">
        <f t="shared" si="11"/>
        <v>193765</v>
      </c>
      <c r="Q14" s="14" t="str">
        <f t="shared" si="12"/>
        <v>0</v>
      </c>
      <c r="R14" s="14" t="str">
        <f t="shared" si="12"/>
        <v>0</v>
      </c>
      <c r="S14" s="14">
        <f t="shared" si="12"/>
        <v>192.00672043010752</v>
      </c>
      <c r="T14" s="14">
        <f t="shared" si="12"/>
        <v>107.4956317204301</v>
      </c>
      <c r="U14" s="14">
        <f t="shared" si="13"/>
        <v>299.5023521505376</v>
      </c>
    </row>
    <row r="15" spans="1:21" x14ac:dyDescent="0.25">
      <c r="A15" s="30" t="s">
        <v>7</v>
      </c>
      <c r="B15" s="11" t="str">
        <f t="shared" si="0"/>
        <v>-</v>
      </c>
      <c r="C15" s="11" t="str">
        <f t="shared" si="8"/>
        <v>-</v>
      </c>
      <c r="D15" s="11">
        <f t="shared" si="9"/>
        <v>4.3694522997693537E-3</v>
      </c>
      <c r="E15" s="11">
        <f t="shared" si="10"/>
        <v>2.1123791036296927E-3</v>
      </c>
      <c r="F15" s="11">
        <f t="shared" si="2"/>
        <v>6.4818314033990463E-3</v>
      </c>
      <c r="G15" s="11" t="str">
        <f t="shared" si="3"/>
        <v>-</v>
      </c>
      <c r="H15" s="11" t="str">
        <f t="shared" si="4"/>
        <v>-</v>
      </c>
      <c r="I15" s="11">
        <f t="shared" si="5"/>
        <v>4.3694522997693537E-3</v>
      </c>
      <c r="J15" s="11">
        <f t="shared" si="6"/>
        <v>2.1123791036296931E-3</v>
      </c>
      <c r="K15" s="11">
        <f t="shared" si="7"/>
        <v>6.4818314033990463E-3</v>
      </c>
      <c r="L15" s="13"/>
      <c r="M15" s="13"/>
      <c r="N15" s="13">
        <v>220384</v>
      </c>
      <c r="O15" s="13">
        <v>106543</v>
      </c>
      <c r="P15" s="13">
        <f t="shared" si="11"/>
        <v>326927</v>
      </c>
      <c r="Q15" s="14" t="str">
        <f t="shared" si="12"/>
        <v>0</v>
      </c>
      <c r="R15" s="14" t="str">
        <f t="shared" si="12"/>
        <v>0</v>
      </c>
      <c r="S15" s="14">
        <f t="shared" si="12"/>
        <v>340.64731182795691</v>
      </c>
      <c r="T15" s="14">
        <f t="shared" si="12"/>
        <v>164.68340053763438</v>
      </c>
      <c r="U15" s="14">
        <f t="shared" si="13"/>
        <v>505.3307123655913</v>
      </c>
    </row>
    <row r="16" spans="1:21" x14ac:dyDescent="0.25">
      <c r="A16" s="30" t="s">
        <v>9</v>
      </c>
      <c r="B16" s="11" t="str">
        <f t="shared" si="0"/>
        <v>-</v>
      </c>
      <c r="C16" s="11" t="str">
        <f t="shared" si="8"/>
        <v>-</v>
      </c>
      <c r="D16" s="11">
        <f t="shared" si="9"/>
        <v>5.6300832238665418E-3</v>
      </c>
      <c r="E16" s="11">
        <f t="shared" si="10"/>
        <v>5.0612002975321344E-3</v>
      </c>
      <c r="F16" s="11">
        <f t="shared" si="2"/>
        <v>1.0691283521398677E-2</v>
      </c>
      <c r="G16" s="11" t="str">
        <f t="shared" si="3"/>
        <v>-</v>
      </c>
      <c r="H16" s="11" t="str">
        <f t="shared" si="4"/>
        <v>-</v>
      </c>
      <c r="I16" s="11">
        <f t="shared" si="5"/>
        <v>5.6300832238665426E-3</v>
      </c>
      <c r="J16" s="11">
        <f t="shared" si="6"/>
        <v>5.0612002975321353E-3</v>
      </c>
      <c r="K16" s="11">
        <f t="shared" si="7"/>
        <v>1.0691283521398679E-2</v>
      </c>
      <c r="L16" s="13"/>
      <c r="M16" s="13"/>
      <c r="N16" s="13">
        <v>283967</v>
      </c>
      <c r="O16" s="13">
        <v>255274</v>
      </c>
      <c r="P16" s="13">
        <f t="shared" si="11"/>
        <v>539241</v>
      </c>
      <c r="Q16" s="14" t="str">
        <f t="shared" si="12"/>
        <v>0</v>
      </c>
      <c r="R16" s="14" t="str">
        <f t="shared" si="12"/>
        <v>0</v>
      </c>
      <c r="S16" s="14">
        <f t="shared" si="12"/>
        <v>438.92748655913977</v>
      </c>
      <c r="T16" s="14">
        <f t="shared" si="12"/>
        <v>394.57674731182794</v>
      </c>
      <c r="U16" s="14">
        <f t="shared" si="13"/>
        <v>833.50423387096771</v>
      </c>
    </row>
    <row r="17" spans="1:23" x14ac:dyDescent="0.25">
      <c r="A17" s="30" t="s">
        <v>10</v>
      </c>
      <c r="B17" s="11" t="str">
        <f t="shared" si="0"/>
        <v>-</v>
      </c>
      <c r="C17" s="11" t="str">
        <f t="shared" si="8"/>
        <v>-</v>
      </c>
      <c r="D17" s="11">
        <f t="shared" si="9"/>
        <v>1.1354639913177041E-2</v>
      </c>
      <c r="E17" s="11">
        <f t="shared" si="10"/>
        <v>5.4386976284981235E-3</v>
      </c>
      <c r="F17" s="11">
        <f t="shared" si="2"/>
        <v>1.6793337541675165E-2</v>
      </c>
      <c r="G17" s="11" t="str">
        <f t="shared" si="3"/>
        <v>-</v>
      </c>
      <c r="H17" s="11" t="str">
        <f t="shared" si="4"/>
        <v>-</v>
      </c>
      <c r="I17" s="11">
        <f t="shared" si="5"/>
        <v>1.1354639913177042E-2</v>
      </c>
      <c r="J17" s="11">
        <f t="shared" si="6"/>
        <v>5.4386976284981235E-3</v>
      </c>
      <c r="K17" s="11">
        <f t="shared" si="7"/>
        <v>1.6793337541675165E-2</v>
      </c>
      <c r="L17" s="13"/>
      <c r="M17" s="13"/>
      <c r="N17" s="13">
        <v>572699</v>
      </c>
      <c r="O17" s="13">
        <v>274314</v>
      </c>
      <c r="P17" s="13">
        <f t="shared" si="11"/>
        <v>847013</v>
      </c>
      <c r="Q17" s="14" t="str">
        <f t="shared" si="12"/>
        <v>0</v>
      </c>
      <c r="R17" s="14" t="str">
        <f t="shared" si="12"/>
        <v>0</v>
      </c>
      <c r="S17" s="14">
        <f t="shared" si="12"/>
        <v>885.2202284946236</v>
      </c>
      <c r="T17" s="14">
        <f t="shared" si="12"/>
        <v>424.00685483870961</v>
      </c>
      <c r="U17" s="14">
        <f t="shared" si="13"/>
        <v>1309.2270833333332</v>
      </c>
    </row>
    <row r="18" spans="1:23" x14ac:dyDescent="0.25">
      <c r="A18" s="30" t="s">
        <v>11</v>
      </c>
      <c r="B18" s="11" t="str">
        <f t="shared" si="0"/>
        <v>-</v>
      </c>
      <c r="C18" s="11" t="str">
        <f t="shared" si="8"/>
        <v>-</v>
      </c>
      <c r="D18" s="11">
        <f t="shared" si="9"/>
        <v>6.3569241983000057E-3</v>
      </c>
      <c r="E18" s="11">
        <f t="shared" si="10"/>
        <v>7.4494062324852953E-3</v>
      </c>
      <c r="F18" s="11">
        <f t="shared" si="2"/>
        <v>1.3806330430785302E-2</v>
      </c>
      <c r="G18" s="11" t="str">
        <f t="shared" si="3"/>
        <v>-</v>
      </c>
      <c r="H18" s="11" t="str">
        <f t="shared" si="4"/>
        <v>-</v>
      </c>
      <c r="I18" s="11">
        <f t="shared" si="5"/>
        <v>6.3569241983000065E-3</v>
      </c>
      <c r="J18" s="11">
        <f t="shared" si="6"/>
        <v>7.4494062324852962E-3</v>
      </c>
      <c r="K18" s="11">
        <f t="shared" si="7"/>
        <v>1.3806330430785304E-2</v>
      </c>
      <c r="L18" s="13"/>
      <c r="M18" s="13"/>
      <c r="N18" s="13">
        <v>320627</v>
      </c>
      <c r="O18" s="13">
        <v>375729</v>
      </c>
      <c r="P18" s="13">
        <f t="shared" si="11"/>
        <v>696356</v>
      </c>
      <c r="Q18" s="14" t="str">
        <f t="shared" si="12"/>
        <v>0</v>
      </c>
      <c r="R18" s="14" t="str">
        <f t="shared" si="12"/>
        <v>0</v>
      </c>
      <c r="S18" s="14">
        <f t="shared" si="12"/>
        <v>495.59280913978489</v>
      </c>
      <c r="T18" s="14">
        <f t="shared" si="12"/>
        <v>580.76391129032254</v>
      </c>
      <c r="U18" s="14">
        <f t="shared" si="13"/>
        <v>1076.3567204301075</v>
      </c>
    </row>
    <row r="19" spans="1:23" x14ac:dyDescent="0.25">
      <c r="A19" s="30" t="s">
        <v>12</v>
      </c>
      <c r="B19" s="11" t="str">
        <f t="shared" si="0"/>
        <v>-</v>
      </c>
      <c r="C19" s="11" t="str">
        <f t="shared" si="8"/>
        <v>-</v>
      </c>
      <c r="D19" s="11">
        <f t="shared" si="9"/>
        <v>9.0094377445508345E-3</v>
      </c>
      <c r="E19" s="11">
        <f t="shared" si="10"/>
        <v>2.676464007165058E-3</v>
      </c>
      <c r="F19" s="11">
        <f t="shared" si="2"/>
        <v>1.1685901751715893E-2</v>
      </c>
      <c r="G19" s="11" t="str">
        <f t="shared" si="3"/>
        <v>-</v>
      </c>
      <c r="H19" s="11" t="str">
        <f t="shared" si="4"/>
        <v>-</v>
      </c>
      <c r="I19" s="11">
        <f t="shared" si="5"/>
        <v>9.0094377445508363E-3</v>
      </c>
      <c r="J19" s="11">
        <f t="shared" si="6"/>
        <v>2.676464007165058E-3</v>
      </c>
      <c r="K19" s="11">
        <f t="shared" si="7"/>
        <v>1.1685901751715895E-2</v>
      </c>
      <c r="L19" s="13"/>
      <c r="M19" s="13"/>
      <c r="N19" s="13">
        <v>454413</v>
      </c>
      <c r="O19" s="13">
        <v>134994</v>
      </c>
      <c r="P19" s="13">
        <v>589407</v>
      </c>
      <c r="Q19" s="14" t="str">
        <f t="shared" si="12"/>
        <v>0</v>
      </c>
      <c r="R19" s="14" t="str">
        <f t="shared" si="12"/>
        <v>0</v>
      </c>
      <c r="S19" s="14">
        <f t="shared" si="12"/>
        <v>702.38568548387093</v>
      </c>
      <c r="T19" s="14">
        <f t="shared" si="12"/>
        <v>208.66008064516126</v>
      </c>
      <c r="U19" s="14">
        <f t="shared" si="13"/>
        <v>911.04576612903224</v>
      </c>
    </row>
    <row r="20" spans="1:23" x14ac:dyDescent="0.25">
      <c r="A20" s="30" t="s">
        <v>13</v>
      </c>
      <c r="B20" s="11">
        <f t="shared" si="0"/>
        <v>1.2260911079062301E-2</v>
      </c>
      <c r="C20" s="11" t="str">
        <f t="shared" si="8"/>
        <v>-</v>
      </c>
      <c r="D20" s="11">
        <f t="shared" si="9"/>
        <v>4.7477625188955107E-3</v>
      </c>
      <c r="E20" s="11">
        <f t="shared" si="10"/>
        <v>7.2867691208301482E-3</v>
      </c>
      <c r="F20" s="11">
        <f t="shared" si="2"/>
        <v>2.429544271878796E-2</v>
      </c>
      <c r="G20" s="11">
        <f t="shared" si="3"/>
        <v>1.2260911079062303E-2</v>
      </c>
      <c r="H20" s="11" t="str">
        <f t="shared" si="4"/>
        <v>-</v>
      </c>
      <c r="I20" s="11">
        <f t="shared" si="5"/>
        <v>4.7477625188955107E-3</v>
      </c>
      <c r="J20" s="11">
        <f t="shared" si="6"/>
        <v>7.2867691208301491E-3</v>
      </c>
      <c r="K20" s="11">
        <f t="shared" si="7"/>
        <v>2.4295442718787964E-2</v>
      </c>
      <c r="L20" s="13">
        <v>618409</v>
      </c>
      <c r="M20" s="13"/>
      <c r="N20" s="13">
        <v>239465</v>
      </c>
      <c r="O20" s="13">
        <v>367526</v>
      </c>
      <c r="P20" s="13">
        <v>1225400</v>
      </c>
      <c r="Q20" s="14">
        <f t="shared" si="12"/>
        <v>955.87412634408599</v>
      </c>
      <c r="R20" s="14" t="str">
        <f t="shared" si="12"/>
        <v>0</v>
      </c>
      <c r="S20" s="14">
        <f t="shared" si="12"/>
        <v>370.14079301075265</v>
      </c>
      <c r="T20" s="14">
        <f t="shared" si="12"/>
        <v>568.08454301075267</v>
      </c>
      <c r="U20" s="14">
        <f t="shared" si="13"/>
        <v>1894.0994623655913</v>
      </c>
    </row>
    <row r="21" spans="1:23" x14ac:dyDescent="0.25">
      <c r="A21" s="30" t="s">
        <v>14</v>
      </c>
      <c r="B21" s="11" t="str">
        <f t="shared" si="0"/>
        <v>-</v>
      </c>
      <c r="C21" s="11" t="str">
        <f t="shared" si="8"/>
        <v>-</v>
      </c>
      <c r="D21" s="11">
        <f t="shared" si="9"/>
        <v>1.2005822809093371E-2</v>
      </c>
      <c r="E21" s="11">
        <f t="shared" si="10"/>
        <v>1.3330790857086812E-2</v>
      </c>
      <c r="F21" s="11">
        <f t="shared" si="2"/>
        <v>2.5336613666180185E-2</v>
      </c>
      <c r="G21" s="11" t="str">
        <f t="shared" si="3"/>
        <v>-</v>
      </c>
      <c r="H21" s="11" t="str">
        <f t="shared" si="4"/>
        <v>-</v>
      </c>
      <c r="I21" s="11">
        <f t="shared" si="5"/>
        <v>1.2005822809093373E-2</v>
      </c>
      <c r="J21" s="11">
        <f t="shared" si="6"/>
        <v>1.3330790857086813E-2</v>
      </c>
      <c r="K21" s="11">
        <f t="shared" si="7"/>
        <v>2.5336613666180188E-2</v>
      </c>
      <c r="L21" s="13"/>
      <c r="M21" s="13"/>
      <c r="N21" s="13">
        <v>605543</v>
      </c>
      <c r="O21" s="13">
        <v>672371</v>
      </c>
      <c r="P21" s="13">
        <f t="shared" si="11"/>
        <v>1277914</v>
      </c>
      <c r="Q21" s="14" t="str">
        <f t="shared" si="12"/>
        <v>0</v>
      </c>
      <c r="R21" s="14" t="str">
        <f t="shared" si="12"/>
        <v>0</v>
      </c>
      <c r="S21" s="14">
        <f t="shared" si="12"/>
        <v>935.98716397849455</v>
      </c>
      <c r="T21" s="14">
        <f t="shared" si="12"/>
        <v>1039.28313172043</v>
      </c>
      <c r="U21" s="14">
        <f t="shared" si="13"/>
        <v>1975.2702956989247</v>
      </c>
    </row>
    <row r="22" spans="1:23" x14ac:dyDescent="0.25">
      <c r="A22" s="30" t="s">
        <v>15</v>
      </c>
      <c r="B22" s="11" t="str">
        <f t="shared" si="0"/>
        <v>-</v>
      </c>
      <c r="C22" s="11" t="str">
        <f t="shared" si="8"/>
        <v>-</v>
      </c>
      <c r="D22" s="11">
        <f t="shared" si="9"/>
        <v>7.0043400515228732E-3</v>
      </c>
      <c r="E22" s="11">
        <f t="shared" si="10"/>
        <v>1.0405384807505318E-2</v>
      </c>
      <c r="F22" s="11">
        <f t="shared" si="2"/>
        <v>1.740972485902819E-2</v>
      </c>
      <c r="G22" s="11" t="str">
        <f t="shared" si="3"/>
        <v>-</v>
      </c>
      <c r="H22" s="11" t="str">
        <f t="shared" si="4"/>
        <v>-</v>
      </c>
      <c r="I22" s="11">
        <f t="shared" si="5"/>
        <v>7.004340051522874E-3</v>
      </c>
      <c r="J22" s="11">
        <f t="shared" si="6"/>
        <v>1.0405384807505318E-2</v>
      </c>
      <c r="K22" s="11">
        <f t="shared" si="7"/>
        <v>1.740972485902819E-2</v>
      </c>
      <c r="L22" s="13"/>
      <c r="M22" s="13"/>
      <c r="N22" s="13">
        <v>353281</v>
      </c>
      <c r="O22" s="13">
        <v>524821</v>
      </c>
      <c r="P22" s="13">
        <f t="shared" si="11"/>
        <v>878102</v>
      </c>
      <c r="Q22" s="14" t="str">
        <f t="shared" si="12"/>
        <v>0</v>
      </c>
      <c r="R22" s="14" t="str">
        <f t="shared" si="12"/>
        <v>0</v>
      </c>
      <c r="S22" s="14">
        <f t="shared" si="12"/>
        <v>546.0660618279569</v>
      </c>
      <c r="T22" s="14">
        <f t="shared" si="12"/>
        <v>811.21525537634398</v>
      </c>
      <c r="U22" s="14">
        <f t="shared" si="13"/>
        <v>1357.2813172043009</v>
      </c>
    </row>
    <row r="23" spans="1:23" x14ac:dyDescent="0.25">
      <c r="A23" s="30" t="s">
        <v>16</v>
      </c>
      <c r="B23" s="11" t="str">
        <f t="shared" si="0"/>
        <v>-</v>
      </c>
      <c r="C23" s="11" t="str">
        <f t="shared" si="8"/>
        <v>-</v>
      </c>
      <c r="D23" s="11">
        <f t="shared" si="9"/>
        <v>1.7529259071653924E-2</v>
      </c>
      <c r="E23" s="11">
        <f t="shared" si="10"/>
        <v>1.9170638879357774E-2</v>
      </c>
      <c r="F23" s="11">
        <f t="shared" si="2"/>
        <v>3.6699897951011695E-2</v>
      </c>
      <c r="G23" s="11" t="str">
        <f t="shared" si="3"/>
        <v>-</v>
      </c>
      <c r="H23" s="11" t="str">
        <f t="shared" si="4"/>
        <v>-</v>
      </c>
      <c r="I23" s="11">
        <f t="shared" si="5"/>
        <v>1.7529259071653924E-2</v>
      </c>
      <c r="J23" s="11">
        <f t="shared" si="6"/>
        <v>1.9170638879357774E-2</v>
      </c>
      <c r="K23" s="11">
        <f t="shared" si="7"/>
        <v>3.6699897951011702E-2</v>
      </c>
      <c r="L23" s="13"/>
      <c r="M23" s="13"/>
      <c r="N23" s="13">
        <v>884131</v>
      </c>
      <c r="O23" s="13">
        <v>966918</v>
      </c>
      <c r="P23" s="13">
        <f t="shared" si="11"/>
        <v>1851049</v>
      </c>
      <c r="Q23" s="14" t="str">
        <f t="shared" si="12"/>
        <v>0</v>
      </c>
      <c r="R23" s="14" t="str">
        <f t="shared" si="12"/>
        <v>0</v>
      </c>
      <c r="S23" s="14">
        <f t="shared" si="12"/>
        <v>1366.6003360215052</v>
      </c>
      <c r="T23" s="14">
        <f t="shared" si="12"/>
        <v>1494.5641129032256</v>
      </c>
      <c r="U23" s="14">
        <f t="shared" si="13"/>
        <v>2861.164448924731</v>
      </c>
    </row>
    <row r="24" spans="1:23" x14ac:dyDescent="0.25">
      <c r="A24" s="30" t="s">
        <v>48</v>
      </c>
      <c r="B24" s="11" t="str">
        <f t="shared" si="0"/>
        <v>-</v>
      </c>
      <c r="C24" s="11" t="str">
        <f t="shared" si="8"/>
        <v>-</v>
      </c>
      <c r="D24" s="11">
        <f t="shared" si="9"/>
        <v>1.5737514780859419E-3</v>
      </c>
      <c r="E24" s="11">
        <f t="shared" si="10"/>
        <v>1.1040607338325659E-3</v>
      </c>
      <c r="F24" s="11">
        <f t="shared" si="2"/>
        <v>2.6778122119185078E-3</v>
      </c>
      <c r="G24" s="11" t="str">
        <f t="shared" si="3"/>
        <v>-</v>
      </c>
      <c r="H24" s="11" t="str">
        <f t="shared" si="4"/>
        <v>-</v>
      </c>
      <c r="I24" s="11">
        <f t="shared" si="5"/>
        <v>1.5737514780859421E-3</v>
      </c>
      <c r="J24" s="11">
        <f t="shared" si="6"/>
        <v>1.1040607338325661E-3</v>
      </c>
      <c r="K24" s="11">
        <f t="shared" si="7"/>
        <v>2.6778122119185082E-3</v>
      </c>
      <c r="L24" s="13"/>
      <c r="M24" s="13"/>
      <c r="N24" s="13">
        <v>79376</v>
      </c>
      <c r="O24" s="13">
        <v>55686</v>
      </c>
      <c r="P24" s="13">
        <f t="shared" si="11"/>
        <v>135062</v>
      </c>
      <c r="Q24" s="14" t="str">
        <f t="shared" si="12"/>
        <v>0</v>
      </c>
      <c r="R24" s="14" t="str">
        <f t="shared" si="12"/>
        <v>0</v>
      </c>
      <c r="S24" s="14">
        <f t="shared" si="12"/>
        <v>122.69139784946236</v>
      </c>
      <c r="T24" s="14">
        <f t="shared" si="12"/>
        <v>86.073790322580635</v>
      </c>
      <c r="U24" s="14">
        <f t="shared" si="13"/>
        <v>208.765188172043</v>
      </c>
    </row>
    <row r="25" spans="1:23" x14ac:dyDescent="0.25">
      <c r="A25" s="30" t="s">
        <v>47</v>
      </c>
      <c r="B25" s="11" t="str">
        <f t="shared" si="0"/>
        <v>-</v>
      </c>
      <c r="C25" s="11" t="str">
        <f t="shared" si="8"/>
        <v>-</v>
      </c>
      <c r="D25" s="11">
        <f t="shared" si="9"/>
        <v>4.2816603784711707E-3</v>
      </c>
      <c r="E25" s="11">
        <f t="shared" si="10"/>
        <v>9.7465290404186167E-4</v>
      </c>
      <c r="F25" s="11">
        <f t="shared" si="2"/>
        <v>5.2563132825130324E-3</v>
      </c>
      <c r="G25" s="11" t="str">
        <f t="shared" si="3"/>
        <v>-</v>
      </c>
      <c r="H25" s="11" t="str">
        <f t="shared" si="4"/>
        <v>-</v>
      </c>
      <c r="I25" s="11">
        <f t="shared" si="5"/>
        <v>4.2816603784711707E-3</v>
      </c>
      <c r="J25" s="11">
        <f t="shared" si="6"/>
        <v>9.7465290404186188E-4</v>
      </c>
      <c r="K25" s="11">
        <f t="shared" si="7"/>
        <v>5.2563132825130324E-3</v>
      </c>
      <c r="L25" s="13"/>
      <c r="M25" s="13"/>
      <c r="N25" s="13">
        <f>72196+143760</f>
        <v>215956</v>
      </c>
      <c r="O25" s="13">
        <v>49159</v>
      </c>
      <c r="P25" s="13">
        <f t="shared" si="11"/>
        <v>265115</v>
      </c>
      <c r="Q25" s="14" t="str">
        <f t="shared" si="12"/>
        <v>0</v>
      </c>
      <c r="R25" s="14" t="str">
        <f t="shared" si="12"/>
        <v>0</v>
      </c>
      <c r="S25" s="14">
        <f t="shared" si="12"/>
        <v>333.80295698924726</v>
      </c>
      <c r="T25" s="14">
        <f t="shared" si="12"/>
        <v>75.985013440860214</v>
      </c>
      <c r="U25" s="14">
        <f t="shared" si="13"/>
        <v>409.78797043010746</v>
      </c>
    </row>
    <row r="26" spans="1:23" x14ac:dyDescent="0.25">
      <c r="A26" s="30" t="s">
        <v>45</v>
      </c>
      <c r="B26" s="11" t="str">
        <f t="shared" si="0"/>
        <v>-</v>
      </c>
      <c r="C26" s="11" t="str">
        <f t="shared" si="8"/>
        <v>-</v>
      </c>
      <c r="D26" s="11">
        <f t="shared" si="9"/>
        <v>1.2912827556976832E-3</v>
      </c>
      <c r="E26" s="11">
        <f t="shared" si="10"/>
        <v>5.5319616749720732E-3</v>
      </c>
      <c r="F26" s="11">
        <f t="shared" si="2"/>
        <v>6.8232444306697568E-3</v>
      </c>
      <c r="G26" s="11" t="str">
        <f t="shared" si="3"/>
        <v>-</v>
      </c>
      <c r="H26" s="11" t="str">
        <f t="shared" si="4"/>
        <v>-</v>
      </c>
      <c r="I26" s="11">
        <f t="shared" si="5"/>
        <v>1.2912827556976834E-3</v>
      </c>
      <c r="J26" s="11">
        <f t="shared" si="6"/>
        <v>5.5319616749720732E-3</v>
      </c>
      <c r="K26" s="11">
        <f t="shared" si="7"/>
        <v>6.8232444306697577E-3</v>
      </c>
      <c r="L26" s="13"/>
      <c r="M26" s="13"/>
      <c r="N26" s="13">
        <v>65129</v>
      </c>
      <c r="O26" s="13">
        <v>279018</v>
      </c>
      <c r="P26" s="13">
        <f t="shared" si="11"/>
        <v>344147</v>
      </c>
      <c r="Q26" s="14" t="str">
        <f t="shared" si="12"/>
        <v>0</v>
      </c>
      <c r="R26" s="14" t="str">
        <f t="shared" si="12"/>
        <v>0</v>
      </c>
      <c r="S26" s="14">
        <f t="shared" si="12"/>
        <v>100.66982526881719</v>
      </c>
      <c r="T26" s="14">
        <f t="shared" si="12"/>
        <v>431.27782258064508</v>
      </c>
      <c r="U26" s="14">
        <f t="shared" si="13"/>
        <v>531.94764784946233</v>
      </c>
    </row>
    <row r="27" spans="1:23" x14ac:dyDescent="0.25">
      <c r="A27" s="30" t="s">
        <v>30</v>
      </c>
      <c r="B27" s="11" t="str">
        <f t="shared" si="0"/>
        <v>-</v>
      </c>
      <c r="C27" s="11" t="str">
        <f t="shared" si="8"/>
        <v>-</v>
      </c>
      <c r="D27" s="11">
        <f t="shared" si="9"/>
        <v>1.0273320221288696E-3</v>
      </c>
      <c r="E27" s="11">
        <f t="shared" si="10"/>
        <v>3.4987499475265822E-3</v>
      </c>
      <c r="F27" s="11">
        <f t="shared" si="2"/>
        <v>4.5260819696554518E-3</v>
      </c>
      <c r="G27" s="11" t="str">
        <f t="shared" si="3"/>
        <v>-</v>
      </c>
      <c r="H27" s="11" t="str">
        <f t="shared" si="4"/>
        <v>-</v>
      </c>
      <c r="I27" s="11">
        <f t="shared" si="5"/>
        <v>1.0273320221288696E-3</v>
      </c>
      <c r="J27" s="11">
        <f t="shared" si="6"/>
        <v>3.4987499475265826E-3</v>
      </c>
      <c r="K27" s="11">
        <f t="shared" si="7"/>
        <v>4.5260819696554518E-3</v>
      </c>
      <c r="L27" s="13"/>
      <c r="M27" s="13"/>
      <c r="N27" s="13">
        <v>51816</v>
      </c>
      <c r="O27" s="13">
        <v>176468</v>
      </c>
      <c r="P27" s="13">
        <f t="shared" si="11"/>
        <v>228284</v>
      </c>
      <c r="Q27" s="14" t="str">
        <f t="shared" si="12"/>
        <v>0</v>
      </c>
      <c r="R27" s="14" t="str">
        <f t="shared" si="12"/>
        <v>0</v>
      </c>
      <c r="S27" s="14">
        <f t="shared" si="12"/>
        <v>80.091935483870955</v>
      </c>
      <c r="T27" s="14">
        <f t="shared" si="12"/>
        <v>272.76639784946235</v>
      </c>
      <c r="U27" s="14">
        <f t="shared" si="13"/>
        <v>352.85833333333329</v>
      </c>
    </row>
    <row r="28" spans="1:23" x14ac:dyDescent="0.25">
      <c r="A28" s="30" t="s">
        <v>50</v>
      </c>
      <c r="B28" s="11" t="str">
        <f t="shared" si="0"/>
        <v>-</v>
      </c>
      <c r="C28" s="11" t="str">
        <f t="shared" si="8"/>
        <v>-</v>
      </c>
      <c r="D28" s="11">
        <f t="shared" si="9"/>
        <v>6.5800917380769578E-3</v>
      </c>
      <c r="E28" s="11">
        <f t="shared" si="10"/>
        <v>1.4965865824914234E-3</v>
      </c>
      <c r="F28" s="11">
        <f t="shared" si="2"/>
        <v>8.0766783205683812E-3</v>
      </c>
      <c r="G28" s="11" t="str">
        <f t="shared" si="3"/>
        <v>-</v>
      </c>
      <c r="H28" s="11" t="str">
        <f t="shared" si="4"/>
        <v>-</v>
      </c>
      <c r="I28" s="11">
        <f t="shared" si="5"/>
        <v>6.5800917380769586E-3</v>
      </c>
      <c r="J28" s="11">
        <f t="shared" si="6"/>
        <v>1.4965865824914236E-3</v>
      </c>
      <c r="K28" s="11">
        <f t="shared" si="7"/>
        <v>8.0766783205683812E-3</v>
      </c>
      <c r="L28" s="13"/>
      <c r="M28" s="13"/>
      <c r="N28" s="13">
        <v>331883</v>
      </c>
      <c r="O28" s="13">
        <v>75484</v>
      </c>
      <c r="P28" s="13">
        <f t="shared" si="11"/>
        <v>407367</v>
      </c>
      <c r="Q28" s="14" t="str">
        <f t="shared" si="12"/>
        <v>0</v>
      </c>
      <c r="R28" s="14" t="str">
        <f t="shared" si="12"/>
        <v>0</v>
      </c>
      <c r="S28" s="14">
        <f t="shared" si="12"/>
        <v>512.99119623655906</v>
      </c>
      <c r="T28" s="14">
        <f t="shared" si="12"/>
        <v>116.67553763440858</v>
      </c>
      <c r="U28" s="14">
        <f t="shared" si="13"/>
        <v>629.66673387096762</v>
      </c>
    </row>
    <row r="29" spans="1:23" x14ac:dyDescent="0.25">
      <c r="A29" s="30" t="s">
        <v>17</v>
      </c>
      <c r="B29" s="11" t="str">
        <f t="shared" si="0"/>
        <v>-</v>
      </c>
      <c r="C29" s="11" t="str">
        <f t="shared" si="8"/>
        <v>-</v>
      </c>
      <c r="D29" s="11">
        <f t="shared" si="9"/>
        <v>1.668135724097685E-2</v>
      </c>
      <c r="E29" s="11">
        <f t="shared" si="10"/>
        <v>1.6852143060774174E-2</v>
      </c>
      <c r="F29" s="11">
        <f t="shared" si="2"/>
        <v>3.3533500301751021E-2</v>
      </c>
      <c r="G29" s="11" t="str">
        <f t="shared" si="3"/>
        <v>-</v>
      </c>
      <c r="H29" s="11" t="str">
        <f t="shared" si="4"/>
        <v>-</v>
      </c>
      <c r="I29" s="11">
        <f t="shared" si="5"/>
        <v>1.668135724097685E-2</v>
      </c>
      <c r="J29" s="11">
        <f t="shared" si="6"/>
        <v>1.6852143060774174E-2</v>
      </c>
      <c r="K29" s="11">
        <f t="shared" si="7"/>
        <v>3.3533500301751028E-2</v>
      </c>
      <c r="L29" s="13"/>
      <c r="M29" s="13"/>
      <c r="N29" s="13">
        <v>841365</v>
      </c>
      <c r="O29" s="13">
        <v>849979</v>
      </c>
      <c r="P29" s="13">
        <f t="shared" si="11"/>
        <v>1691344</v>
      </c>
      <c r="Q29" s="14" t="str">
        <f t="shared" si="12"/>
        <v>0</v>
      </c>
      <c r="R29" s="14" t="str">
        <f t="shared" si="12"/>
        <v>0</v>
      </c>
      <c r="S29" s="14">
        <f t="shared" si="12"/>
        <v>1300.4969758064515</v>
      </c>
      <c r="T29" s="14">
        <f t="shared" si="12"/>
        <v>1313.8116263440859</v>
      </c>
      <c r="U29" s="14">
        <f t="shared" si="13"/>
        <v>2614.3086021505374</v>
      </c>
    </row>
    <row r="30" spans="1:23" x14ac:dyDescent="0.25">
      <c r="A30" s="30" t="s">
        <v>18</v>
      </c>
      <c r="B30" s="11">
        <f t="shared" si="0"/>
        <v>8.8589939552982128E-3</v>
      </c>
      <c r="C30" s="11" t="str">
        <f t="shared" si="8"/>
        <v>-</v>
      </c>
      <c r="D30" s="11">
        <f t="shared" si="9"/>
        <v>6.618779266538824E-2</v>
      </c>
      <c r="E30" s="11">
        <f t="shared" si="10"/>
        <v>2.9402303539072965E-2</v>
      </c>
      <c r="F30" s="11">
        <f t="shared" si="2"/>
        <v>0.10444909015975942</v>
      </c>
      <c r="G30" s="11">
        <f t="shared" si="3"/>
        <v>8.8589939552982146E-3</v>
      </c>
      <c r="H30" s="11" t="str">
        <f t="shared" si="4"/>
        <v>-</v>
      </c>
      <c r="I30" s="11">
        <f t="shared" si="5"/>
        <v>6.6187792665388268E-2</v>
      </c>
      <c r="J30" s="11">
        <f t="shared" si="6"/>
        <v>2.9402303539072965E-2</v>
      </c>
      <c r="K30" s="11">
        <f t="shared" si="7"/>
        <v>0.10444909015975945</v>
      </c>
      <c r="L30" s="13">
        <v>446825</v>
      </c>
      <c r="M30" s="13"/>
      <c r="N30" s="13">
        <v>3338343</v>
      </c>
      <c r="O30" s="13">
        <v>1482977</v>
      </c>
      <c r="P30" s="13">
        <f t="shared" si="11"/>
        <v>5268145</v>
      </c>
      <c r="Q30" s="14">
        <f t="shared" si="12"/>
        <v>690.65692204301081</v>
      </c>
      <c r="R30" s="14" t="str">
        <f t="shared" si="12"/>
        <v>0</v>
      </c>
      <c r="S30" s="14">
        <f t="shared" si="12"/>
        <v>5160.0731854838714</v>
      </c>
      <c r="T30" s="14">
        <f t="shared" si="12"/>
        <v>2292.2359543010748</v>
      </c>
      <c r="U30" s="14">
        <f t="shared" si="13"/>
        <v>8142.9660618279577</v>
      </c>
      <c r="W30" s="31"/>
    </row>
    <row r="31" spans="1:23" x14ac:dyDescent="0.25">
      <c r="A31" s="30" t="s">
        <v>19</v>
      </c>
      <c r="B31" s="11" t="str">
        <f t="shared" si="0"/>
        <v>-</v>
      </c>
      <c r="C31" s="11" t="str">
        <f t="shared" si="8"/>
        <v>-</v>
      </c>
      <c r="D31" s="11">
        <f t="shared" si="9"/>
        <v>2.932266032591696E-3</v>
      </c>
      <c r="E31" s="11">
        <f t="shared" si="10"/>
        <v>2.355908500491838E-3</v>
      </c>
      <c r="F31" s="11">
        <f t="shared" si="2"/>
        <v>5.2881745330835336E-3</v>
      </c>
      <c r="G31" s="11" t="str">
        <f t="shared" si="3"/>
        <v>-</v>
      </c>
      <c r="H31" s="11" t="str">
        <f t="shared" si="4"/>
        <v>-</v>
      </c>
      <c r="I31" s="11">
        <f t="shared" si="5"/>
        <v>2.9322660325916965E-3</v>
      </c>
      <c r="J31" s="11">
        <f t="shared" si="6"/>
        <v>2.355908500491838E-3</v>
      </c>
      <c r="K31" s="11">
        <f t="shared" si="7"/>
        <v>5.2881745330835344E-3</v>
      </c>
      <c r="L31" s="13"/>
      <c r="M31" s="13"/>
      <c r="N31" s="13">
        <v>147896</v>
      </c>
      <c r="O31" s="13">
        <v>118826</v>
      </c>
      <c r="P31" s="13">
        <f t="shared" si="11"/>
        <v>266722</v>
      </c>
      <c r="Q31" s="14" t="str">
        <f t="shared" si="12"/>
        <v>0</v>
      </c>
      <c r="R31" s="14" t="str">
        <f t="shared" si="12"/>
        <v>0</v>
      </c>
      <c r="S31" s="14">
        <f t="shared" si="12"/>
        <v>228.602688172043</v>
      </c>
      <c r="T31" s="14">
        <f t="shared" si="12"/>
        <v>183.66922043010752</v>
      </c>
      <c r="U31" s="14">
        <f t="shared" si="13"/>
        <v>412.27190860215052</v>
      </c>
    </row>
    <row r="32" spans="1:23" x14ac:dyDescent="0.25">
      <c r="A32" s="30" t="s">
        <v>20</v>
      </c>
      <c r="B32" s="11" t="str">
        <f t="shared" si="0"/>
        <v>-</v>
      </c>
      <c r="C32" s="11" t="str">
        <f t="shared" si="8"/>
        <v>-</v>
      </c>
      <c r="D32" s="11">
        <f t="shared" si="9"/>
        <v>4.3437372767513444E-3</v>
      </c>
      <c r="E32" s="11" t="str">
        <f t="shared" si="10"/>
        <v>-</v>
      </c>
      <c r="F32" s="11">
        <f t="shared" si="2"/>
        <v>4.3437372767513444E-3</v>
      </c>
      <c r="G32" s="11" t="str">
        <f t="shared" si="3"/>
        <v>-</v>
      </c>
      <c r="H32" s="11" t="str">
        <f t="shared" si="4"/>
        <v>-</v>
      </c>
      <c r="I32" s="11">
        <f t="shared" si="5"/>
        <v>4.3437372767513452E-3</v>
      </c>
      <c r="J32" s="11" t="str">
        <f t="shared" si="6"/>
        <v>-</v>
      </c>
      <c r="K32" s="11">
        <f t="shared" si="7"/>
        <v>4.3437372767513452E-3</v>
      </c>
      <c r="L32" s="13"/>
      <c r="M32" s="13"/>
      <c r="N32" s="13">
        <v>219087</v>
      </c>
      <c r="O32" s="13"/>
      <c r="P32" s="13">
        <f t="shared" si="11"/>
        <v>219087</v>
      </c>
      <c r="Q32" s="14" t="str">
        <f t="shared" si="12"/>
        <v>0</v>
      </c>
      <c r="R32" s="14" t="str">
        <f t="shared" si="12"/>
        <v>0</v>
      </c>
      <c r="S32" s="14">
        <f t="shared" si="12"/>
        <v>338.64254032258066</v>
      </c>
      <c r="T32" s="14" t="str">
        <f t="shared" si="12"/>
        <v>0</v>
      </c>
      <c r="U32" s="14">
        <f t="shared" si="13"/>
        <v>338.64254032258066</v>
      </c>
    </row>
    <row r="33" spans="1:21" x14ac:dyDescent="0.25">
      <c r="A33" s="30" t="s">
        <v>21</v>
      </c>
      <c r="B33" s="11">
        <f t="shared" si="0"/>
        <v>1.981222572967602E-2</v>
      </c>
      <c r="C33" s="11" t="str">
        <f t="shared" si="8"/>
        <v>-</v>
      </c>
      <c r="D33" s="11">
        <f t="shared" si="9"/>
        <v>4.5568706043853408E-2</v>
      </c>
      <c r="E33" s="11">
        <f t="shared" si="10"/>
        <v>1.2854279782904219E-2</v>
      </c>
      <c r="F33" s="11">
        <f t="shared" si="2"/>
        <v>7.8235211556433648E-2</v>
      </c>
      <c r="G33" s="11">
        <f t="shared" si="3"/>
        <v>1.981222572967602E-2</v>
      </c>
      <c r="H33" s="11" t="str">
        <f t="shared" si="4"/>
        <v>-</v>
      </c>
      <c r="I33" s="11">
        <f t="shared" si="5"/>
        <v>4.5568706043853408E-2</v>
      </c>
      <c r="J33" s="11">
        <f t="shared" si="6"/>
        <v>1.2854279782904219E-2</v>
      </c>
      <c r="K33" s="11">
        <f t="shared" si="7"/>
        <v>7.8235211556433648E-2</v>
      </c>
      <c r="L33" s="13">
        <v>999278</v>
      </c>
      <c r="M33" s="13"/>
      <c r="N33" s="13">
        <v>2298369</v>
      </c>
      <c r="O33" s="13">
        <v>648337</v>
      </c>
      <c r="P33" s="13">
        <f t="shared" si="11"/>
        <v>3945984</v>
      </c>
      <c r="Q33" s="14">
        <f t="shared" si="12"/>
        <v>1544.5829301075266</v>
      </c>
      <c r="R33" s="14" t="str">
        <f t="shared" si="12"/>
        <v>0</v>
      </c>
      <c r="S33" s="14">
        <f t="shared" si="12"/>
        <v>3552.5864919354835</v>
      </c>
      <c r="T33" s="14">
        <f t="shared" si="12"/>
        <v>1002.1338037634407</v>
      </c>
      <c r="U33" s="14">
        <f t="shared" si="13"/>
        <v>6099.3032258064504</v>
      </c>
    </row>
    <row r="34" spans="1:21" x14ac:dyDescent="0.25">
      <c r="A34" s="30" t="s">
        <v>22</v>
      </c>
      <c r="B34" s="11" t="str">
        <f t="shared" si="0"/>
        <v>-</v>
      </c>
      <c r="C34" s="11" t="str">
        <f t="shared" si="8"/>
        <v>-</v>
      </c>
      <c r="D34" s="11">
        <f t="shared" si="9"/>
        <v>1.3421893810647144E-2</v>
      </c>
      <c r="E34" s="11">
        <f t="shared" si="10"/>
        <v>1.7932372292935463E-2</v>
      </c>
      <c r="F34" s="11">
        <f t="shared" si="2"/>
        <v>3.1354266103582606E-2</v>
      </c>
      <c r="G34" s="11" t="str">
        <f t="shared" si="3"/>
        <v>-</v>
      </c>
      <c r="H34" s="11" t="str">
        <f t="shared" si="4"/>
        <v>-</v>
      </c>
      <c r="I34" s="11">
        <f t="shared" si="5"/>
        <v>1.3421893810647146E-2</v>
      </c>
      <c r="J34" s="11">
        <f t="shared" si="6"/>
        <v>1.7932372292935463E-2</v>
      </c>
      <c r="K34" s="11">
        <f t="shared" si="7"/>
        <v>3.1354266103582606E-2</v>
      </c>
      <c r="L34" s="13"/>
      <c r="M34" s="13"/>
      <c r="N34" s="13">
        <v>676966</v>
      </c>
      <c r="O34" s="13">
        <v>904463</v>
      </c>
      <c r="P34" s="13">
        <f t="shared" si="11"/>
        <v>1581429</v>
      </c>
      <c r="Q34" s="14" t="str">
        <f t="shared" si="12"/>
        <v>0</v>
      </c>
      <c r="R34" s="14" t="str">
        <f t="shared" si="12"/>
        <v>0</v>
      </c>
      <c r="S34" s="14">
        <f t="shared" si="12"/>
        <v>1046.3856182795698</v>
      </c>
      <c r="T34" s="14">
        <f t="shared" si="12"/>
        <v>1398.0274865591396</v>
      </c>
      <c r="U34" s="14">
        <f t="shared" si="13"/>
        <v>2444.4131048387094</v>
      </c>
    </row>
    <row r="35" spans="1:21" x14ac:dyDescent="0.25">
      <c r="A35" s="30" t="s">
        <v>23</v>
      </c>
      <c r="B35" s="11" t="str">
        <f t="shared" si="0"/>
        <v>-</v>
      </c>
      <c r="C35" s="11" t="str">
        <f t="shared" si="8"/>
        <v>-</v>
      </c>
      <c r="D35" s="11">
        <f t="shared" si="9"/>
        <v>6.0550254662296743E-4</v>
      </c>
      <c r="E35" s="11">
        <f t="shared" si="10"/>
        <v>1.1688142150791479E-3</v>
      </c>
      <c r="F35" s="11">
        <f t="shared" si="2"/>
        <v>1.7743167617021154E-3</v>
      </c>
      <c r="G35" s="11" t="str">
        <f t="shared" si="3"/>
        <v>-</v>
      </c>
      <c r="H35" s="11" t="str">
        <f t="shared" si="4"/>
        <v>-</v>
      </c>
      <c r="I35" s="11">
        <f t="shared" si="5"/>
        <v>6.0550254662296754E-4</v>
      </c>
      <c r="J35" s="11">
        <f t="shared" si="6"/>
        <v>1.1688142150791479E-3</v>
      </c>
      <c r="K35" s="11">
        <f t="shared" si="7"/>
        <v>1.7743167617021154E-3</v>
      </c>
      <c r="L35" s="13"/>
      <c r="M35" s="13"/>
      <c r="N35" s="13">
        <f>20280+10260</f>
        <v>30540</v>
      </c>
      <c r="O35" s="13">
        <v>58952</v>
      </c>
      <c r="P35" s="13">
        <f t="shared" si="11"/>
        <v>89492</v>
      </c>
      <c r="Q35" s="14" t="str">
        <f t="shared" si="12"/>
        <v>0</v>
      </c>
      <c r="R35" s="14" t="str">
        <f t="shared" si="12"/>
        <v>0</v>
      </c>
      <c r="S35" s="14">
        <f t="shared" si="12"/>
        <v>47.20564516129032</v>
      </c>
      <c r="T35" s="14">
        <f t="shared" si="12"/>
        <v>91.122043010752677</v>
      </c>
      <c r="U35" s="14">
        <f t="shared" si="13"/>
        <v>138.327688172043</v>
      </c>
    </row>
    <row r="36" spans="1:21" x14ac:dyDescent="0.25">
      <c r="A36" s="30" t="s">
        <v>24</v>
      </c>
      <c r="B36" s="11">
        <f t="shared" si="0"/>
        <v>8.4878212907491431E-3</v>
      </c>
      <c r="C36" s="11" t="str">
        <f t="shared" si="8"/>
        <v>-</v>
      </c>
      <c r="D36" s="11">
        <f t="shared" si="9"/>
        <v>1.8111267167793977E-2</v>
      </c>
      <c r="E36" s="11">
        <f t="shared" si="10"/>
        <v>4.3552366702366528E-3</v>
      </c>
      <c r="F36" s="11">
        <f t="shared" si="2"/>
        <v>3.0954325128779773E-2</v>
      </c>
      <c r="G36" s="11">
        <f t="shared" si="3"/>
        <v>8.4878212907491448E-3</v>
      </c>
      <c r="H36" s="11" t="str">
        <f t="shared" si="4"/>
        <v>-</v>
      </c>
      <c r="I36" s="11">
        <f t="shared" si="5"/>
        <v>1.8111267167793977E-2</v>
      </c>
      <c r="J36" s="11">
        <f t="shared" si="6"/>
        <v>4.3552366702366537E-3</v>
      </c>
      <c r="K36" s="11">
        <f t="shared" si="7"/>
        <v>3.0954325128779776E-2</v>
      </c>
      <c r="L36" s="13">
        <v>428104</v>
      </c>
      <c r="M36" s="13"/>
      <c r="N36" s="13">
        <v>913486</v>
      </c>
      <c r="O36" s="13">
        <v>219667</v>
      </c>
      <c r="P36" s="13">
        <f t="shared" si="11"/>
        <v>1561257</v>
      </c>
      <c r="Q36" s="14">
        <f t="shared" si="12"/>
        <v>661.71989247311819</v>
      </c>
      <c r="R36" s="14" t="str">
        <f t="shared" si="12"/>
        <v>0</v>
      </c>
      <c r="S36" s="14">
        <f t="shared" si="12"/>
        <v>1411.9743279569891</v>
      </c>
      <c r="T36" s="14">
        <f t="shared" si="12"/>
        <v>339.53904569892472</v>
      </c>
      <c r="U36" s="14">
        <f t="shared" si="13"/>
        <v>2413.233266129032</v>
      </c>
    </row>
    <row r="37" spans="1:21" x14ac:dyDescent="0.25">
      <c r="A37" s="30" t="s">
        <v>56</v>
      </c>
      <c r="B37" s="11">
        <f t="shared" si="0"/>
        <v>5.5836296394939939E-3</v>
      </c>
      <c r="C37" s="11" t="str">
        <f t="shared" si="8"/>
        <v>-</v>
      </c>
      <c r="D37" s="11">
        <f t="shared" si="9"/>
        <v>3.2633672761525637E-2</v>
      </c>
      <c r="E37" s="11">
        <f t="shared" si="10"/>
        <v>1.831952514912101E-3</v>
      </c>
      <c r="F37" s="11">
        <f t="shared" si="2"/>
        <v>4.0049254915931726E-2</v>
      </c>
      <c r="G37" s="11">
        <f t="shared" si="3"/>
        <v>5.5836296394939948E-3</v>
      </c>
      <c r="H37" s="11" t="str">
        <f t="shared" si="4"/>
        <v>-</v>
      </c>
      <c r="I37" s="11">
        <f t="shared" si="5"/>
        <v>3.2633672761525637E-2</v>
      </c>
      <c r="J37" s="11">
        <f t="shared" si="6"/>
        <v>1.8319525149121014E-3</v>
      </c>
      <c r="K37" s="11">
        <f t="shared" si="7"/>
        <v>4.0049254915931733E-2</v>
      </c>
      <c r="L37" s="13">
        <v>281624</v>
      </c>
      <c r="M37" s="13"/>
      <c r="N37" s="13">
        <v>1645959</v>
      </c>
      <c r="O37" s="13">
        <v>92399</v>
      </c>
      <c r="P37" s="13">
        <f t="shared" si="11"/>
        <v>2019982</v>
      </c>
      <c r="Q37" s="14">
        <f t="shared" si="12"/>
        <v>435.30591397849457</v>
      </c>
      <c r="R37" s="14" t="str">
        <f t="shared" si="12"/>
        <v>0</v>
      </c>
      <c r="S37" s="14">
        <f t="shared" si="12"/>
        <v>2544.1570564516128</v>
      </c>
      <c r="T37" s="14">
        <f t="shared" si="12"/>
        <v>142.82103494623655</v>
      </c>
      <c r="U37" s="14">
        <f t="shared" si="13"/>
        <v>3122.2840053763439</v>
      </c>
    </row>
    <row r="38" spans="1:21" x14ac:dyDescent="0.25">
      <c r="A38" s="30" t="s">
        <v>25</v>
      </c>
      <c r="B38" s="11" t="str">
        <f t="shared" si="0"/>
        <v>-</v>
      </c>
      <c r="C38" s="11" t="str">
        <f t="shared" si="8"/>
        <v>-</v>
      </c>
      <c r="D38" s="11">
        <f t="shared" si="9"/>
        <v>1.1008785740836143E-2</v>
      </c>
      <c r="E38" s="11">
        <f t="shared" si="10"/>
        <v>1.076880529472205E-2</v>
      </c>
      <c r="F38" s="11">
        <f t="shared" si="2"/>
        <v>2.1777591035558191E-2</v>
      </c>
      <c r="G38" s="11" t="str">
        <f t="shared" si="3"/>
        <v>-</v>
      </c>
      <c r="H38" s="11" t="str">
        <f t="shared" si="4"/>
        <v>-</v>
      </c>
      <c r="I38" s="11">
        <f t="shared" si="5"/>
        <v>1.1008785740836143E-2</v>
      </c>
      <c r="J38" s="11">
        <f t="shared" si="6"/>
        <v>1.076880529472205E-2</v>
      </c>
      <c r="K38" s="11">
        <f t="shared" si="7"/>
        <v>2.1777591035558194E-2</v>
      </c>
      <c r="L38" s="13"/>
      <c r="M38" s="13"/>
      <c r="N38" s="13">
        <v>555255</v>
      </c>
      <c r="O38" s="13">
        <v>543151</v>
      </c>
      <c r="P38" s="13">
        <f t="shared" si="11"/>
        <v>1098406</v>
      </c>
      <c r="Q38" s="14" t="str">
        <f t="shared" si="12"/>
        <v>0</v>
      </c>
      <c r="R38" s="14" t="str">
        <f t="shared" si="12"/>
        <v>0</v>
      </c>
      <c r="S38" s="14">
        <f t="shared" si="12"/>
        <v>858.25705645161281</v>
      </c>
      <c r="T38" s="14">
        <f t="shared" si="12"/>
        <v>839.54791666666654</v>
      </c>
      <c r="U38" s="14">
        <f t="shared" si="13"/>
        <v>1697.8049731182793</v>
      </c>
    </row>
    <row r="39" spans="1:21" x14ac:dyDescent="0.25">
      <c r="A39" s="30" t="s">
        <v>31</v>
      </c>
      <c r="B39" s="11">
        <f t="shared" si="0"/>
        <v>1.6875796123581022E-2</v>
      </c>
      <c r="C39" s="11" t="str">
        <f t="shared" si="8"/>
        <v>-</v>
      </c>
      <c r="D39" s="11">
        <f t="shared" si="9"/>
        <v>1.1185479869700055E-2</v>
      </c>
      <c r="E39" s="11">
        <f t="shared" si="10"/>
        <v>1.458860641243415E-2</v>
      </c>
      <c r="F39" s="11">
        <f t="shared" si="2"/>
        <v>4.2649882405715225E-2</v>
      </c>
      <c r="G39" s="11">
        <f t="shared" si="3"/>
        <v>1.6875796123581022E-2</v>
      </c>
      <c r="H39" s="11" t="str">
        <f t="shared" si="4"/>
        <v>-</v>
      </c>
      <c r="I39" s="11">
        <f t="shared" si="5"/>
        <v>1.1185479869700055E-2</v>
      </c>
      <c r="J39" s="11">
        <f t="shared" si="6"/>
        <v>1.4588606412434152E-2</v>
      </c>
      <c r="K39" s="11">
        <f t="shared" si="7"/>
        <v>4.2649882405715232E-2</v>
      </c>
      <c r="L39" s="13">
        <f>167832+683340</f>
        <v>851172</v>
      </c>
      <c r="M39" s="13"/>
      <c r="N39" s="13">
        <v>564167</v>
      </c>
      <c r="O39" s="13">
        <v>735812</v>
      </c>
      <c r="P39" s="13">
        <f t="shared" si="11"/>
        <v>2151151</v>
      </c>
      <c r="Q39" s="14">
        <f t="shared" si="12"/>
        <v>1315.6556451612901</v>
      </c>
      <c r="R39" s="14" t="str">
        <f t="shared" si="12"/>
        <v>0</v>
      </c>
      <c r="S39" s="14">
        <f t="shared" si="12"/>
        <v>872.03232526881709</v>
      </c>
      <c r="T39" s="14">
        <f t="shared" si="12"/>
        <v>1137.3438172043011</v>
      </c>
      <c r="U39" s="14">
        <f t="shared" si="13"/>
        <v>3325.0317876344084</v>
      </c>
    </row>
    <row r="40" spans="1:21" x14ac:dyDescent="0.25">
      <c r="A40" s="30" t="s">
        <v>26</v>
      </c>
      <c r="B40" s="11" t="str">
        <f t="shared" si="0"/>
        <v>-</v>
      </c>
      <c r="C40" s="11" t="str">
        <f t="shared" si="8"/>
        <v>-</v>
      </c>
      <c r="D40" s="11">
        <f t="shared" si="9"/>
        <v>2.1469843474042745E-2</v>
      </c>
      <c r="E40" s="11">
        <f t="shared" si="10"/>
        <v>1.1539542229804604E-2</v>
      </c>
      <c r="F40" s="11">
        <f t="shared" si="2"/>
        <v>3.3009385703847351E-2</v>
      </c>
      <c r="G40" s="11" t="str">
        <f t="shared" si="3"/>
        <v>-</v>
      </c>
      <c r="H40" s="11" t="str">
        <f t="shared" si="4"/>
        <v>-</v>
      </c>
      <c r="I40" s="11">
        <f t="shared" si="5"/>
        <v>2.1469843474042748E-2</v>
      </c>
      <c r="J40" s="11">
        <f t="shared" si="6"/>
        <v>1.1539542229804604E-2</v>
      </c>
      <c r="K40" s="11">
        <f t="shared" si="7"/>
        <v>3.3009385703847351E-2</v>
      </c>
      <c r="L40" s="13"/>
      <c r="M40" s="13"/>
      <c r="N40" s="13">
        <v>1082884</v>
      </c>
      <c r="O40" s="13">
        <v>582025</v>
      </c>
      <c r="P40" s="13">
        <f t="shared" si="11"/>
        <v>1664909</v>
      </c>
      <c r="Q40" s="14" t="str">
        <f t="shared" si="12"/>
        <v>0</v>
      </c>
      <c r="R40" s="14" t="str">
        <f t="shared" si="12"/>
        <v>0</v>
      </c>
      <c r="S40" s="14">
        <f t="shared" si="12"/>
        <v>1673.812634408602</v>
      </c>
      <c r="T40" s="14">
        <f t="shared" si="12"/>
        <v>899.63541666666652</v>
      </c>
      <c r="U40" s="14">
        <f t="shared" si="13"/>
        <v>2573.4480510752683</v>
      </c>
    </row>
    <row r="41" spans="1:21" x14ac:dyDescent="0.25">
      <c r="A41" s="30" t="s">
        <v>55</v>
      </c>
      <c r="B41" s="11" t="str">
        <f t="shared" si="0"/>
        <v>-</v>
      </c>
      <c r="C41" s="11" t="str">
        <f t="shared" si="8"/>
        <v>-</v>
      </c>
      <c r="D41" s="11">
        <f t="shared" si="9"/>
        <v>1.0023704076495535E-3</v>
      </c>
      <c r="E41" s="11">
        <f t="shared" si="10"/>
        <v>2.4606719404510967E-4</v>
      </c>
      <c r="F41" s="11">
        <f t="shared" si="2"/>
        <v>1.2484376016946631E-3</v>
      </c>
      <c r="G41" s="11" t="str">
        <f t="shared" si="3"/>
        <v>-</v>
      </c>
      <c r="H41" s="11" t="str">
        <f t="shared" si="4"/>
        <v>-</v>
      </c>
      <c r="I41" s="11">
        <f t="shared" si="5"/>
        <v>1.0023704076495537E-3</v>
      </c>
      <c r="J41" s="11">
        <f t="shared" si="6"/>
        <v>2.4606719404510967E-4</v>
      </c>
      <c r="K41" s="11">
        <f t="shared" si="7"/>
        <v>1.2484376016946633E-3</v>
      </c>
      <c r="L41" s="13"/>
      <c r="M41" s="13"/>
      <c r="N41" s="13">
        <v>50557</v>
      </c>
      <c r="O41" s="13">
        <v>12411</v>
      </c>
      <c r="P41" s="13">
        <f t="shared" si="11"/>
        <v>62968</v>
      </c>
      <c r="Q41" s="14" t="str">
        <f t="shared" si="12"/>
        <v>0</v>
      </c>
      <c r="R41" s="14" t="str">
        <f t="shared" si="12"/>
        <v>0</v>
      </c>
      <c r="S41" s="14">
        <f t="shared" si="12"/>
        <v>78.145900537634404</v>
      </c>
      <c r="T41" s="14">
        <f t="shared" si="12"/>
        <v>19.183669354838706</v>
      </c>
      <c r="U41" s="14">
        <f t="shared" si="13"/>
        <v>97.329569892473103</v>
      </c>
    </row>
    <row r="42" spans="1:21" x14ac:dyDescent="0.25">
      <c r="A42" s="30" t="s">
        <v>27</v>
      </c>
      <c r="B42" s="11" t="str">
        <f t="shared" si="0"/>
        <v>-</v>
      </c>
      <c r="C42" s="11" t="str">
        <f t="shared" si="8"/>
        <v>-</v>
      </c>
      <c r="D42" s="11">
        <f t="shared" si="9"/>
        <v>1.2026779462393322E-3</v>
      </c>
      <c r="E42" s="11">
        <f t="shared" si="10"/>
        <v>4.0525052234656614E-3</v>
      </c>
      <c r="F42" s="11">
        <f t="shared" si="2"/>
        <v>5.2551831697049932E-3</v>
      </c>
      <c r="G42" s="11" t="str">
        <f t="shared" si="3"/>
        <v>-</v>
      </c>
      <c r="H42" s="11" t="str">
        <f t="shared" si="4"/>
        <v>-</v>
      </c>
      <c r="I42" s="11">
        <f t="shared" si="5"/>
        <v>1.2026779462393322E-3</v>
      </c>
      <c r="J42" s="11">
        <f t="shared" si="6"/>
        <v>4.0525052234656623E-3</v>
      </c>
      <c r="K42" s="11">
        <f t="shared" si="7"/>
        <v>5.2551831697049941E-3</v>
      </c>
      <c r="L42" s="13"/>
      <c r="M42" s="13"/>
      <c r="N42" s="13">
        <v>60660</v>
      </c>
      <c r="O42" s="13">
        <v>204398</v>
      </c>
      <c r="P42" s="13">
        <f t="shared" si="11"/>
        <v>265058</v>
      </c>
      <c r="Q42" s="14" t="str">
        <f t="shared" si="12"/>
        <v>0</v>
      </c>
      <c r="R42" s="14" t="str">
        <f t="shared" si="12"/>
        <v>0</v>
      </c>
      <c r="S42" s="14">
        <f t="shared" si="12"/>
        <v>93.762096774193537</v>
      </c>
      <c r="T42" s="14">
        <f t="shared" si="12"/>
        <v>315.9377688172043</v>
      </c>
      <c r="U42" s="14">
        <f t="shared" si="13"/>
        <v>409.69986559139784</v>
      </c>
    </row>
    <row r="43" spans="1:21" x14ac:dyDescent="0.25">
      <c r="A43" s="30" t="s">
        <v>32</v>
      </c>
      <c r="B43" s="11" t="str">
        <f t="shared" si="0"/>
        <v>-</v>
      </c>
      <c r="C43" s="11" t="str">
        <f t="shared" si="8"/>
        <v>-</v>
      </c>
      <c r="D43" s="11">
        <f t="shared" si="9"/>
        <v>2.7912993296942074E-3</v>
      </c>
      <c r="E43" s="11">
        <f t="shared" si="10"/>
        <v>1.6495879954675022E-3</v>
      </c>
      <c r="F43" s="11">
        <f t="shared" si="2"/>
        <v>4.4408873251617093E-3</v>
      </c>
      <c r="G43" s="11" t="str">
        <f t="shared" si="3"/>
        <v>-</v>
      </c>
      <c r="H43" s="11" t="str">
        <f t="shared" si="4"/>
        <v>-</v>
      </c>
      <c r="I43" s="11">
        <f t="shared" si="5"/>
        <v>2.7912993296942078E-3</v>
      </c>
      <c r="J43" s="11">
        <f t="shared" si="6"/>
        <v>1.6495879954675024E-3</v>
      </c>
      <c r="K43" s="11">
        <f t="shared" si="7"/>
        <v>4.4408873251617093E-3</v>
      </c>
      <c r="L43" s="13"/>
      <c r="M43" s="13"/>
      <c r="N43" s="13">
        <v>140786</v>
      </c>
      <c r="O43" s="13">
        <v>83201</v>
      </c>
      <c r="P43" s="13">
        <f t="shared" si="11"/>
        <v>223987</v>
      </c>
      <c r="Q43" s="14" t="str">
        <f t="shared" si="12"/>
        <v>0</v>
      </c>
      <c r="R43" s="14" t="str">
        <f t="shared" si="12"/>
        <v>0</v>
      </c>
      <c r="S43" s="14">
        <f t="shared" si="12"/>
        <v>217.61276881720428</v>
      </c>
      <c r="T43" s="14">
        <f t="shared" si="12"/>
        <v>128.60369623655913</v>
      </c>
      <c r="U43" s="14">
        <f t="shared" si="13"/>
        <v>346.21646505376339</v>
      </c>
    </row>
    <row r="44" spans="1:21" x14ac:dyDescent="0.25">
      <c r="A44" s="30" t="s">
        <v>28</v>
      </c>
      <c r="B44" s="11" t="str">
        <f t="shared" si="0"/>
        <v>-</v>
      </c>
      <c r="C44" s="11" t="str">
        <f t="shared" si="8"/>
        <v>-</v>
      </c>
      <c r="D44" s="11">
        <f t="shared" si="9"/>
        <v>7.8088614116036455E-3</v>
      </c>
      <c r="E44" s="11">
        <f t="shared" si="10"/>
        <v>1.119561123189142E-2</v>
      </c>
      <c r="F44" s="11">
        <f t="shared" si="2"/>
        <v>1.9004472643495068E-2</v>
      </c>
      <c r="G44" s="11" t="str">
        <f t="shared" si="3"/>
        <v>-</v>
      </c>
      <c r="H44" s="11" t="str">
        <f t="shared" si="4"/>
        <v>-</v>
      </c>
      <c r="I44" s="11">
        <f t="shared" si="5"/>
        <v>7.8088614116036464E-3</v>
      </c>
      <c r="J44" s="11">
        <f t="shared" si="6"/>
        <v>1.1195611231891424E-2</v>
      </c>
      <c r="K44" s="11">
        <f t="shared" si="7"/>
        <v>1.9004472643495068E-2</v>
      </c>
      <c r="L44" s="13"/>
      <c r="M44" s="13"/>
      <c r="N44" s="13">
        <v>393859</v>
      </c>
      <c r="O44" s="13">
        <v>564678</v>
      </c>
      <c r="P44" s="13">
        <f t="shared" si="11"/>
        <v>958537</v>
      </c>
      <c r="Q44" s="14" t="str">
        <f t="shared" si="12"/>
        <v>0</v>
      </c>
      <c r="R44" s="14" t="str">
        <f t="shared" si="12"/>
        <v>0</v>
      </c>
      <c r="S44" s="14">
        <f t="shared" si="12"/>
        <v>608.78743279569892</v>
      </c>
      <c r="T44" s="14">
        <f t="shared" si="12"/>
        <v>872.82217741935483</v>
      </c>
      <c r="U44" s="14">
        <f t="shared" si="13"/>
        <v>1481.6096102150536</v>
      </c>
    </row>
    <row r="45" spans="1:21" x14ac:dyDescent="0.25">
      <c r="A45" s="32" t="s">
        <v>0</v>
      </c>
      <c r="B45" s="11">
        <f>SUM(B8:B44)</f>
        <v>0.13081164402492593</v>
      </c>
      <c r="C45" s="11">
        <f t="shared" ref="C45:D45" si="14">SUM(C8:C44)</f>
        <v>9.1440540065287641E-3</v>
      </c>
      <c r="D45" s="11">
        <f t="shared" si="14"/>
        <v>0.55482054009847703</v>
      </c>
      <c r="E45" s="11">
        <f>SUM(E8:E44)</f>
        <v>0.305223761870068</v>
      </c>
      <c r="F45" s="11">
        <f>SUM(F8:F44)</f>
        <v>0.99999999999999989</v>
      </c>
      <c r="G45" s="11">
        <f>SUM(G8:G44)</f>
        <v>0.13081164402492593</v>
      </c>
      <c r="H45" s="11">
        <f t="shared" ref="H45:I45" si="15">SUM(H8:H44)</f>
        <v>9.1440540065287658E-3</v>
      </c>
      <c r="I45" s="11">
        <f t="shared" si="15"/>
        <v>0.55482054009847726</v>
      </c>
      <c r="J45" s="11">
        <f>SUM(J8:J44)</f>
        <v>0.30522376187006806</v>
      </c>
      <c r="K45" s="11">
        <f>SUM(K8:K44)</f>
        <v>1</v>
      </c>
      <c r="L45" s="13">
        <f>SUM(L8:L44)</f>
        <v>6597804.7999999998</v>
      </c>
      <c r="M45" s="13">
        <f t="shared" ref="M45:O45" si="16">SUM(M8:M44)</f>
        <v>461202.7</v>
      </c>
      <c r="N45" s="13">
        <f t="shared" si="16"/>
        <v>27983729.199999999</v>
      </c>
      <c r="O45" s="13">
        <f t="shared" si="16"/>
        <v>15394706</v>
      </c>
      <c r="P45" s="13">
        <f>SUM(L45:O45)</f>
        <v>50437442.700000003</v>
      </c>
      <c r="Q45" s="14">
        <f t="shared" si="12"/>
        <v>10198.219784946235</v>
      </c>
      <c r="R45" s="14">
        <f t="shared" si="12"/>
        <v>712.88051747311829</v>
      </c>
      <c r="S45" s="14">
        <f t="shared" si="12"/>
        <v>43254.420134408596</v>
      </c>
      <c r="T45" s="14">
        <f t="shared" si="12"/>
        <v>23795.580510752687</v>
      </c>
      <c r="U45" s="14">
        <f t="shared" si="13"/>
        <v>77961.100947580635</v>
      </c>
    </row>
    <row r="46" spans="1:21" x14ac:dyDescent="0.25">
      <c r="Q46" s="14" t="str">
        <f t="shared" si="12"/>
        <v>0</v>
      </c>
      <c r="R46" s="14" t="str">
        <f t="shared" si="12"/>
        <v>0</v>
      </c>
      <c r="S46" s="14" t="str">
        <f t="shared" si="12"/>
        <v>0</v>
      </c>
      <c r="T46" s="14" t="str">
        <f t="shared" si="12"/>
        <v>0</v>
      </c>
      <c r="U46" s="14">
        <f t="shared" si="13"/>
        <v>0</v>
      </c>
    </row>
    <row r="47" spans="1:21" x14ac:dyDescent="0.25">
      <c r="A47" s="26" t="s">
        <v>46</v>
      </c>
      <c r="B47" s="6" t="s">
        <v>78</v>
      </c>
      <c r="Q47" s="6"/>
      <c r="R47" s="6"/>
      <c r="S47" s="6"/>
      <c r="T47" s="6"/>
      <c r="U47" s="6"/>
    </row>
    <row r="48" spans="1:21" x14ac:dyDescent="0.25">
      <c r="A48" s="26"/>
      <c r="B48" s="6" t="s">
        <v>79</v>
      </c>
      <c r="M48" s="31"/>
      <c r="Q48" s="6"/>
      <c r="R48" s="6"/>
      <c r="S48" s="6"/>
      <c r="T48" s="6"/>
      <c r="U48" s="6"/>
    </row>
    <row r="49" spans="1:257" x14ac:dyDescent="0.25">
      <c r="B49" s="6" t="s">
        <v>92</v>
      </c>
      <c r="Q49" s="6"/>
      <c r="R49" s="6"/>
      <c r="S49" s="6"/>
      <c r="T49" s="6"/>
      <c r="U49" s="6"/>
    </row>
    <row r="50" spans="1:257" x14ac:dyDescent="0.25">
      <c r="B50" s="6" t="s">
        <v>93</v>
      </c>
      <c r="Q50" s="14" t="str">
        <f t="shared" ref="Q50:T50" si="17">IF(L50/744*1.15=0,"0",L50/744*1.15)</f>
        <v>0</v>
      </c>
      <c r="R50" s="14" t="str">
        <f t="shared" si="17"/>
        <v>0</v>
      </c>
      <c r="S50" s="14" t="str">
        <f t="shared" si="17"/>
        <v>0</v>
      </c>
      <c r="T50" s="14" t="str">
        <f t="shared" si="17"/>
        <v>0</v>
      </c>
      <c r="U50" s="14">
        <f t="shared" ref="U50" si="18">Q50+R50+S50+T50</f>
        <v>0</v>
      </c>
    </row>
    <row r="54" spans="1:257" x14ac:dyDescent="0.25">
      <c r="Q54" s="6"/>
      <c r="R54" s="6"/>
      <c r="S54" s="6"/>
      <c r="T54" s="6"/>
      <c r="U54" s="6"/>
    </row>
    <row r="55" spans="1:257" ht="15.75" x14ac:dyDescent="0.25">
      <c r="A55" s="34" t="s">
        <v>76</v>
      </c>
      <c r="B55" s="35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  <c r="CP55" s="36"/>
      <c r="CQ55" s="36"/>
      <c r="CR55" s="36"/>
      <c r="CS55" s="36"/>
      <c r="CT55" s="36"/>
      <c r="CU55" s="36"/>
      <c r="CV55" s="36"/>
      <c r="CW55" s="36"/>
      <c r="CX55" s="36"/>
      <c r="CY55" s="36"/>
      <c r="CZ55" s="36"/>
      <c r="DA55" s="36"/>
      <c r="DB55" s="36"/>
      <c r="DC55" s="36"/>
      <c r="DD55" s="36"/>
      <c r="DE55" s="36"/>
      <c r="DF55" s="36"/>
      <c r="DG55" s="36"/>
      <c r="DH55" s="36"/>
      <c r="DI55" s="36"/>
      <c r="DJ55" s="36"/>
      <c r="DK55" s="36"/>
      <c r="DL55" s="36"/>
      <c r="DM55" s="36"/>
      <c r="DN55" s="36"/>
      <c r="DO55" s="36"/>
      <c r="DP55" s="36"/>
      <c r="DQ55" s="36"/>
      <c r="DR55" s="36"/>
      <c r="DS55" s="36"/>
      <c r="DT55" s="36"/>
      <c r="DU55" s="36"/>
      <c r="DV55" s="36"/>
      <c r="DW55" s="36"/>
      <c r="DX55" s="36"/>
      <c r="DY55" s="36"/>
      <c r="DZ55" s="36"/>
      <c r="EA55" s="36"/>
      <c r="EB55" s="36"/>
      <c r="EC55" s="36"/>
      <c r="ED55" s="36"/>
      <c r="EE55" s="36"/>
      <c r="EF55" s="36"/>
      <c r="EG55" s="36"/>
      <c r="EH55" s="36"/>
      <c r="EI55" s="36"/>
      <c r="EJ55" s="36"/>
      <c r="EK55" s="36"/>
      <c r="EL55" s="36"/>
      <c r="EM55" s="36"/>
      <c r="EN55" s="36"/>
      <c r="EO55" s="36"/>
      <c r="EP55" s="36"/>
      <c r="EQ55" s="36"/>
      <c r="ER55" s="36"/>
      <c r="ES55" s="36"/>
      <c r="ET55" s="36"/>
      <c r="EU55" s="36"/>
      <c r="EV55" s="36"/>
      <c r="EW55" s="36"/>
      <c r="EX55" s="36"/>
      <c r="EY55" s="36"/>
      <c r="EZ55" s="36"/>
      <c r="FA55" s="36"/>
      <c r="FB55" s="36"/>
      <c r="FC55" s="36"/>
      <c r="FD55" s="36"/>
      <c r="FE55" s="36"/>
      <c r="FF55" s="36"/>
      <c r="FG55" s="36"/>
      <c r="FH55" s="36"/>
      <c r="FI55" s="36"/>
      <c r="FJ55" s="36"/>
      <c r="FK55" s="36"/>
      <c r="FL55" s="36"/>
      <c r="FM55" s="36"/>
      <c r="FN55" s="36"/>
      <c r="FO55" s="36"/>
      <c r="FP55" s="36"/>
      <c r="FQ55" s="36"/>
      <c r="FR55" s="36"/>
      <c r="FS55" s="36"/>
      <c r="FT55" s="36"/>
      <c r="FU55" s="36"/>
      <c r="FV55" s="36"/>
      <c r="FW55" s="36"/>
      <c r="FX55" s="36"/>
      <c r="FY55" s="36"/>
      <c r="FZ55" s="36"/>
      <c r="GA55" s="36"/>
      <c r="GB55" s="36"/>
      <c r="GC55" s="36"/>
      <c r="GD55" s="36"/>
      <c r="GE55" s="36"/>
      <c r="GF55" s="36"/>
      <c r="GG55" s="36"/>
      <c r="GH55" s="36"/>
      <c r="GI55" s="36"/>
      <c r="GJ55" s="36"/>
      <c r="GK55" s="36"/>
      <c r="GL55" s="36"/>
      <c r="GM55" s="36"/>
      <c r="GN55" s="36"/>
      <c r="GO55" s="36"/>
      <c r="GP55" s="36"/>
      <c r="GQ55" s="36"/>
      <c r="GR55" s="36"/>
      <c r="GS55" s="36"/>
      <c r="GT55" s="36"/>
      <c r="GU55" s="36"/>
      <c r="GV55" s="36"/>
      <c r="GW55" s="36"/>
      <c r="GX55" s="36"/>
      <c r="GY55" s="36"/>
      <c r="GZ55" s="36"/>
      <c r="HA55" s="36"/>
      <c r="HB55" s="36"/>
      <c r="HC55" s="36"/>
      <c r="HD55" s="36"/>
      <c r="HE55" s="36"/>
      <c r="HF55" s="36"/>
      <c r="HG55" s="36"/>
      <c r="HH55" s="36"/>
      <c r="HI55" s="36"/>
      <c r="HJ55" s="36"/>
      <c r="HK55" s="36"/>
      <c r="HL55" s="36"/>
      <c r="HM55" s="36"/>
      <c r="HN55" s="36"/>
      <c r="HO55" s="36"/>
      <c r="HP55" s="36"/>
      <c r="HQ55" s="36"/>
      <c r="HR55" s="36"/>
      <c r="HS55" s="36"/>
      <c r="HT55" s="36"/>
      <c r="HU55" s="36"/>
      <c r="HV55" s="36"/>
      <c r="HW55" s="36"/>
      <c r="HX55" s="36"/>
      <c r="HY55" s="36"/>
      <c r="HZ55" s="36"/>
      <c r="IA55" s="36"/>
      <c r="IB55" s="36"/>
      <c r="IC55" s="36"/>
      <c r="ID55" s="36"/>
      <c r="IE55" s="36"/>
      <c r="IF55" s="36"/>
      <c r="IG55" s="36"/>
      <c r="IH55" s="36"/>
      <c r="II55" s="36"/>
      <c r="IJ55" s="36"/>
      <c r="IK55" s="36"/>
      <c r="IL55" s="36"/>
      <c r="IM55" s="36"/>
      <c r="IN55" s="36"/>
      <c r="IO55" s="36"/>
      <c r="IP55" s="36"/>
      <c r="IQ55" s="36"/>
      <c r="IR55" s="36"/>
      <c r="IS55" s="36"/>
      <c r="IT55" s="36"/>
      <c r="IU55" s="36"/>
      <c r="IV55" s="36"/>
      <c r="IW55" s="36"/>
    </row>
    <row r="56" spans="1:257" ht="15.75" x14ac:dyDescent="0.25">
      <c r="A56" s="34"/>
      <c r="B56" s="35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/>
      <c r="CR56" s="36"/>
      <c r="CS56" s="36"/>
      <c r="CT56" s="36"/>
      <c r="CU56" s="36"/>
      <c r="CV56" s="36"/>
      <c r="CW56" s="36"/>
      <c r="CX56" s="36"/>
      <c r="CY56" s="36"/>
      <c r="CZ56" s="36"/>
      <c r="DA56" s="36"/>
      <c r="DB56" s="36"/>
      <c r="DC56" s="36"/>
      <c r="DD56" s="36"/>
      <c r="DE56" s="36"/>
      <c r="DF56" s="36"/>
      <c r="DG56" s="36"/>
      <c r="DH56" s="36"/>
      <c r="DI56" s="36"/>
      <c r="DJ56" s="36"/>
      <c r="DK56" s="36"/>
      <c r="DL56" s="36"/>
      <c r="DM56" s="36"/>
      <c r="DN56" s="36"/>
      <c r="DO56" s="36"/>
      <c r="DP56" s="36"/>
      <c r="DQ56" s="36"/>
      <c r="DR56" s="36"/>
      <c r="DS56" s="36"/>
      <c r="DT56" s="36"/>
      <c r="DU56" s="36"/>
      <c r="DV56" s="36"/>
      <c r="DW56" s="36"/>
      <c r="DX56" s="36"/>
      <c r="DY56" s="36"/>
      <c r="DZ56" s="36"/>
      <c r="EA56" s="36"/>
      <c r="EB56" s="36"/>
      <c r="EC56" s="36"/>
      <c r="ED56" s="36"/>
      <c r="EE56" s="36"/>
      <c r="EF56" s="36"/>
      <c r="EG56" s="36"/>
      <c r="EH56" s="36"/>
      <c r="EI56" s="36"/>
      <c r="EJ56" s="36"/>
      <c r="EK56" s="36"/>
      <c r="EL56" s="36"/>
      <c r="EM56" s="36"/>
      <c r="EN56" s="36"/>
      <c r="EO56" s="36"/>
      <c r="EP56" s="36"/>
      <c r="EQ56" s="36"/>
      <c r="ER56" s="36"/>
      <c r="ES56" s="36"/>
      <c r="ET56" s="36"/>
      <c r="EU56" s="36"/>
      <c r="EV56" s="36"/>
      <c r="EW56" s="36"/>
      <c r="EX56" s="36"/>
      <c r="EY56" s="36"/>
      <c r="EZ56" s="36"/>
      <c r="FA56" s="36"/>
      <c r="FB56" s="36"/>
      <c r="FC56" s="36"/>
      <c r="FD56" s="36"/>
      <c r="FE56" s="36"/>
      <c r="FF56" s="36"/>
      <c r="FG56" s="36"/>
      <c r="FH56" s="36"/>
      <c r="FI56" s="36"/>
      <c r="FJ56" s="36"/>
      <c r="FK56" s="36"/>
      <c r="FL56" s="36"/>
      <c r="FM56" s="36"/>
      <c r="FN56" s="36"/>
      <c r="FO56" s="36"/>
      <c r="FP56" s="36"/>
      <c r="FQ56" s="36"/>
      <c r="FR56" s="36"/>
      <c r="FS56" s="36"/>
      <c r="FT56" s="36"/>
      <c r="FU56" s="36"/>
      <c r="FV56" s="36"/>
      <c r="FW56" s="36"/>
      <c r="FX56" s="36"/>
      <c r="FY56" s="36"/>
      <c r="FZ56" s="36"/>
      <c r="GA56" s="36"/>
      <c r="GB56" s="36"/>
      <c r="GC56" s="36"/>
      <c r="GD56" s="36"/>
      <c r="GE56" s="36"/>
      <c r="GF56" s="36"/>
      <c r="GG56" s="36"/>
      <c r="GH56" s="36"/>
      <c r="GI56" s="36"/>
      <c r="GJ56" s="36"/>
      <c r="GK56" s="36"/>
      <c r="GL56" s="36"/>
      <c r="GM56" s="36"/>
      <c r="GN56" s="36"/>
      <c r="GO56" s="36"/>
      <c r="GP56" s="36"/>
      <c r="GQ56" s="36"/>
      <c r="GR56" s="36"/>
      <c r="GS56" s="36"/>
      <c r="GT56" s="36"/>
      <c r="GU56" s="36"/>
      <c r="GV56" s="36"/>
      <c r="GW56" s="36"/>
      <c r="GX56" s="36"/>
      <c r="GY56" s="36"/>
      <c r="GZ56" s="36"/>
      <c r="HA56" s="36"/>
      <c r="HB56" s="36"/>
      <c r="HC56" s="36"/>
      <c r="HD56" s="36"/>
      <c r="HE56" s="36"/>
      <c r="HF56" s="36"/>
      <c r="HG56" s="36"/>
      <c r="HH56" s="36"/>
      <c r="HI56" s="36"/>
      <c r="HJ56" s="36"/>
      <c r="HK56" s="36"/>
      <c r="HL56" s="36"/>
      <c r="HM56" s="36"/>
      <c r="HN56" s="36"/>
      <c r="HO56" s="36"/>
      <c r="HP56" s="36"/>
      <c r="HQ56" s="36"/>
      <c r="HR56" s="36"/>
      <c r="HS56" s="36"/>
      <c r="HT56" s="36"/>
      <c r="HU56" s="36"/>
      <c r="HV56" s="36"/>
      <c r="HW56" s="36"/>
      <c r="HX56" s="36"/>
      <c r="HY56" s="36"/>
      <c r="HZ56" s="36"/>
      <c r="IA56" s="36"/>
      <c r="IB56" s="36"/>
      <c r="IC56" s="36"/>
      <c r="ID56" s="36"/>
      <c r="IE56" s="36"/>
      <c r="IF56" s="36"/>
      <c r="IG56" s="36"/>
      <c r="IH56" s="36"/>
      <c r="II56" s="36"/>
      <c r="IJ56" s="36"/>
      <c r="IK56" s="36"/>
      <c r="IL56" s="36"/>
      <c r="IM56" s="36"/>
      <c r="IN56" s="36"/>
      <c r="IO56" s="36"/>
      <c r="IP56" s="36"/>
      <c r="IQ56" s="36"/>
      <c r="IR56" s="36"/>
      <c r="IS56" s="36"/>
      <c r="IT56" s="36"/>
      <c r="IU56" s="36"/>
      <c r="IV56" s="36"/>
      <c r="IW56" s="36"/>
    </row>
    <row r="57" spans="1:257" ht="15.75" x14ac:dyDescent="0.25">
      <c r="A57" s="34" t="s">
        <v>77</v>
      </c>
      <c r="B57" s="35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6"/>
      <c r="CM57" s="36"/>
      <c r="CN57" s="36"/>
      <c r="CO57" s="36"/>
      <c r="CP57" s="36"/>
      <c r="CQ57" s="36"/>
      <c r="CR57" s="36"/>
      <c r="CS57" s="36"/>
      <c r="CT57" s="36"/>
      <c r="CU57" s="36"/>
      <c r="CV57" s="36"/>
      <c r="CW57" s="36"/>
      <c r="CX57" s="36"/>
      <c r="CY57" s="36"/>
      <c r="CZ57" s="36"/>
      <c r="DA57" s="36"/>
      <c r="DB57" s="36"/>
      <c r="DC57" s="36"/>
      <c r="DD57" s="36"/>
      <c r="DE57" s="36"/>
      <c r="DF57" s="36"/>
      <c r="DG57" s="36"/>
      <c r="DH57" s="36"/>
      <c r="DI57" s="36"/>
      <c r="DJ57" s="36"/>
      <c r="DK57" s="36"/>
      <c r="DL57" s="36"/>
      <c r="DM57" s="36"/>
      <c r="DN57" s="36"/>
      <c r="DO57" s="36"/>
      <c r="DP57" s="36"/>
      <c r="DQ57" s="36"/>
      <c r="DR57" s="36"/>
      <c r="DS57" s="36"/>
      <c r="DT57" s="36"/>
      <c r="DU57" s="36"/>
      <c r="DV57" s="36"/>
      <c r="DW57" s="36"/>
      <c r="DX57" s="36"/>
      <c r="DY57" s="36"/>
      <c r="DZ57" s="36"/>
      <c r="EA57" s="36"/>
      <c r="EB57" s="36"/>
      <c r="EC57" s="36"/>
      <c r="ED57" s="36"/>
      <c r="EE57" s="36"/>
      <c r="EF57" s="36"/>
      <c r="EG57" s="36"/>
      <c r="EH57" s="36"/>
      <c r="EI57" s="36"/>
      <c r="EJ57" s="36"/>
      <c r="EK57" s="36"/>
      <c r="EL57" s="36"/>
      <c r="EM57" s="36"/>
      <c r="EN57" s="36"/>
      <c r="EO57" s="36"/>
      <c r="EP57" s="36"/>
      <c r="EQ57" s="36"/>
      <c r="ER57" s="36"/>
      <c r="ES57" s="36"/>
      <c r="ET57" s="36"/>
      <c r="EU57" s="36"/>
      <c r="EV57" s="36"/>
      <c r="EW57" s="36"/>
      <c r="EX57" s="36"/>
      <c r="EY57" s="36"/>
      <c r="EZ57" s="36"/>
      <c r="FA57" s="36"/>
      <c r="FB57" s="36"/>
      <c r="FC57" s="36"/>
      <c r="FD57" s="36"/>
      <c r="FE57" s="36"/>
      <c r="FF57" s="36"/>
      <c r="FG57" s="36"/>
      <c r="FH57" s="36"/>
      <c r="FI57" s="36"/>
      <c r="FJ57" s="36"/>
      <c r="FK57" s="36"/>
      <c r="FL57" s="36"/>
      <c r="FM57" s="36"/>
      <c r="FN57" s="36"/>
      <c r="FO57" s="36"/>
      <c r="FP57" s="36"/>
      <c r="FQ57" s="36"/>
      <c r="FR57" s="36"/>
      <c r="FS57" s="36"/>
      <c r="FT57" s="36"/>
      <c r="FU57" s="36"/>
      <c r="FV57" s="36"/>
      <c r="FW57" s="36"/>
      <c r="FX57" s="36"/>
      <c r="FY57" s="36"/>
      <c r="FZ57" s="36"/>
      <c r="GA57" s="36"/>
      <c r="GB57" s="36"/>
      <c r="GC57" s="36"/>
      <c r="GD57" s="36"/>
      <c r="GE57" s="36"/>
      <c r="GF57" s="36"/>
      <c r="GG57" s="36"/>
      <c r="GH57" s="36"/>
      <c r="GI57" s="36"/>
      <c r="GJ57" s="36"/>
      <c r="GK57" s="36"/>
      <c r="GL57" s="36"/>
      <c r="GM57" s="36"/>
      <c r="GN57" s="36"/>
      <c r="GO57" s="36"/>
      <c r="GP57" s="36"/>
      <c r="GQ57" s="36"/>
      <c r="GR57" s="36"/>
      <c r="GS57" s="36"/>
      <c r="GT57" s="36"/>
      <c r="GU57" s="36"/>
      <c r="GV57" s="36"/>
      <c r="GW57" s="36"/>
      <c r="GX57" s="36"/>
      <c r="GY57" s="36"/>
      <c r="GZ57" s="36"/>
      <c r="HA57" s="36"/>
      <c r="HB57" s="36"/>
      <c r="HC57" s="36"/>
      <c r="HD57" s="36"/>
      <c r="HE57" s="36"/>
      <c r="HF57" s="36"/>
      <c r="HG57" s="36"/>
      <c r="HH57" s="36"/>
      <c r="HI57" s="36"/>
      <c r="HJ57" s="36"/>
      <c r="HK57" s="36"/>
      <c r="HL57" s="36"/>
      <c r="HM57" s="36"/>
      <c r="HN57" s="36"/>
      <c r="HO57" s="36"/>
      <c r="HP57" s="36"/>
      <c r="HQ57" s="36"/>
      <c r="HR57" s="36"/>
      <c r="HS57" s="36"/>
      <c r="HT57" s="36"/>
      <c r="HU57" s="36"/>
      <c r="HV57" s="36"/>
      <c r="HW57" s="36"/>
      <c r="HX57" s="36"/>
      <c r="HY57" s="36"/>
      <c r="HZ57" s="36"/>
      <c r="IA57" s="36"/>
      <c r="IB57" s="36"/>
      <c r="IC57" s="36"/>
      <c r="ID57" s="36"/>
      <c r="IE57" s="36"/>
      <c r="IF57" s="36"/>
      <c r="IG57" s="36"/>
      <c r="IH57" s="36"/>
      <c r="II57" s="36"/>
      <c r="IJ57" s="36"/>
      <c r="IK57" s="36"/>
      <c r="IL57" s="36"/>
      <c r="IM57" s="36"/>
      <c r="IN57" s="36"/>
      <c r="IO57" s="36"/>
      <c r="IP57" s="36"/>
      <c r="IQ57" s="36"/>
      <c r="IR57" s="36"/>
      <c r="IS57" s="36"/>
      <c r="IT57" s="36"/>
      <c r="IU57" s="36"/>
      <c r="IV57" s="36"/>
      <c r="IW57" s="36"/>
    </row>
  </sheetData>
  <mergeCells count="7">
    <mergeCell ref="Q5:U6"/>
    <mergeCell ref="A2:K2"/>
    <mergeCell ref="A3:K3"/>
    <mergeCell ref="A5:A6"/>
    <mergeCell ref="B5:F6"/>
    <mergeCell ref="G5:K6"/>
    <mergeCell ref="L5:P6"/>
  </mergeCells>
  <pageMargins left="0.7" right="0.7" top="0.75" bottom="0.75" header="0.3" footer="0.3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W58"/>
  <sheetViews>
    <sheetView view="pageBreakPreview" topLeftCell="A22" zoomScaleNormal="100" zoomScaleSheetLayoutView="100" workbookViewId="0">
      <selection activeCell="K34" sqref="K1:V1048576"/>
    </sheetView>
  </sheetViews>
  <sheetFormatPr defaultRowHeight="15" x14ac:dyDescent="0.25"/>
  <cols>
    <col min="1" max="1" width="21.85546875" style="6" customWidth="1"/>
    <col min="2" max="13" width="9.140625" style="6" customWidth="1"/>
    <col min="14" max="14" width="9.85546875" style="6" customWidth="1"/>
    <col min="15" max="15" width="10.140625" style="6" customWidth="1"/>
    <col min="16" max="16" width="10" style="6" customWidth="1"/>
    <col min="17" max="21" width="9.140625" style="28" customWidth="1"/>
    <col min="22" max="16384" width="9.140625" style="6"/>
  </cols>
  <sheetData>
    <row r="1" spans="1:21" ht="15.75" x14ac:dyDescent="0.25">
      <c r="J1" s="59" t="s">
        <v>100</v>
      </c>
    </row>
    <row r="2" spans="1:21" ht="15.75" x14ac:dyDescent="0.25">
      <c r="A2" s="67" t="s">
        <v>33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21" ht="15.75" x14ac:dyDescent="0.25">
      <c r="A3" s="67" t="s">
        <v>67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21" x14ac:dyDescent="0.25">
      <c r="A4" s="18" t="s">
        <v>34</v>
      </c>
      <c r="B4" s="4"/>
      <c r="C4" s="4"/>
      <c r="D4" s="4"/>
      <c r="E4" s="4"/>
      <c r="F4" s="5"/>
      <c r="K4" s="7"/>
    </row>
    <row r="5" spans="1:21" x14ac:dyDescent="0.25">
      <c r="A5" s="68" t="s">
        <v>35</v>
      </c>
      <c r="B5" s="66" t="s">
        <v>29</v>
      </c>
      <c r="C5" s="66"/>
      <c r="D5" s="66"/>
      <c r="E5" s="66"/>
      <c r="F5" s="66"/>
      <c r="G5" s="66" t="s">
        <v>36</v>
      </c>
      <c r="H5" s="66"/>
      <c r="I5" s="66"/>
      <c r="J5" s="66"/>
      <c r="K5" s="66"/>
      <c r="L5" s="66" t="s">
        <v>42</v>
      </c>
      <c r="M5" s="66"/>
      <c r="N5" s="66"/>
      <c r="O5" s="66"/>
      <c r="P5" s="66"/>
      <c r="Q5" s="66" t="s">
        <v>43</v>
      </c>
      <c r="R5" s="66"/>
      <c r="S5" s="66"/>
      <c r="T5" s="66"/>
      <c r="U5" s="66"/>
    </row>
    <row r="6" spans="1:21" x14ac:dyDescent="0.25">
      <c r="A6" s="69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</row>
    <row r="7" spans="1:21" x14ac:dyDescent="0.25">
      <c r="A7" s="29" t="s">
        <v>37</v>
      </c>
      <c r="B7" s="9" t="s">
        <v>1</v>
      </c>
      <c r="C7" s="9" t="s">
        <v>39</v>
      </c>
      <c r="D7" s="9" t="s">
        <v>40</v>
      </c>
      <c r="E7" s="9" t="s">
        <v>2</v>
      </c>
      <c r="F7" s="9" t="s">
        <v>41</v>
      </c>
      <c r="G7" s="9" t="s">
        <v>1</v>
      </c>
      <c r="H7" s="9" t="s">
        <v>39</v>
      </c>
      <c r="I7" s="9" t="s">
        <v>40</v>
      </c>
      <c r="J7" s="9" t="s">
        <v>2</v>
      </c>
      <c r="K7" s="9" t="s">
        <v>41</v>
      </c>
      <c r="L7" s="9" t="s">
        <v>1</v>
      </c>
      <c r="M7" s="9" t="s">
        <v>39</v>
      </c>
      <c r="N7" s="9" t="s">
        <v>40</v>
      </c>
      <c r="O7" s="9" t="s">
        <v>2</v>
      </c>
      <c r="P7" s="9" t="s">
        <v>41</v>
      </c>
      <c r="Q7" s="9" t="s">
        <v>1</v>
      </c>
      <c r="R7" s="9" t="s">
        <v>39</v>
      </c>
      <c r="S7" s="9" t="s">
        <v>40</v>
      </c>
      <c r="T7" s="9" t="s">
        <v>2</v>
      </c>
      <c r="U7" s="9" t="s">
        <v>41</v>
      </c>
    </row>
    <row r="8" spans="1:21" x14ac:dyDescent="0.25">
      <c r="A8" s="30" t="s">
        <v>44</v>
      </c>
      <c r="B8" s="11" t="str">
        <f t="shared" ref="B8:B45" si="0">IF(L8/$P$46=0,"-",L8/$P$46)</f>
        <v>-</v>
      </c>
      <c r="C8" s="11">
        <f t="shared" ref="C8:E8" si="1">M8/$P$46</f>
        <v>0</v>
      </c>
      <c r="D8" s="11">
        <f t="shared" si="1"/>
        <v>1.1898981362709173E-3</v>
      </c>
      <c r="E8" s="11">
        <f t="shared" si="1"/>
        <v>3.6535289252273161E-4</v>
      </c>
      <c r="F8" s="11">
        <f t="shared" ref="F8:F45" si="2">P8/$P$46</f>
        <v>1.555251028793649E-3</v>
      </c>
      <c r="G8" s="11" t="str">
        <f t="shared" ref="G8:G45" si="3">IF(Q8/$U$46=0,"-",Q8/$U$46)</f>
        <v>-</v>
      </c>
      <c r="H8" s="11" t="str">
        <f t="shared" ref="H8:H45" si="4">IF(R8/$U$46=0,"-",R8/$U$46)</f>
        <v>-</v>
      </c>
      <c r="I8" s="11">
        <f t="shared" ref="I8:I45" si="5">IF(S8/$U$46=0,"-",S8/$U$46)</f>
        <v>1.1898981362709173E-3</v>
      </c>
      <c r="J8" s="11">
        <f t="shared" ref="J8:J45" si="6">IF(T8/$U$46=0,"-",T8/$U$46)</f>
        <v>3.6535289252273166E-4</v>
      </c>
      <c r="K8" s="11">
        <f t="shared" ref="K8:K45" si="7">IF(U8/$U$46=0,"-",U8/$U$46)</f>
        <v>1.555251028793649E-3</v>
      </c>
      <c r="L8" s="13"/>
      <c r="M8" s="13"/>
      <c r="N8" s="13">
        <v>62082</v>
      </c>
      <c r="O8" s="13">
        <v>19062</v>
      </c>
      <c r="P8" s="13">
        <f>SUM(L8:O8)</f>
        <v>81144</v>
      </c>
      <c r="Q8" s="14" t="str">
        <f>IF(L8/744*1.15=0,"0",L8/744*1.15)</f>
        <v>0</v>
      </c>
      <c r="R8" s="14" t="str">
        <f>IF(M8/744*1.15=0,"0",M8/744*1.15)</f>
        <v>0</v>
      </c>
      <c r="S8" s="14">
        <f>IF(N8/744*1.15=0,"0",N8/744*1.15)</f>
        <v>95.96008064516127</v>
      </c>
      <c r="T8" s="14">
        <f>IF(O8/744*1.15=0,"0",O8/744*1.15)</f>
        <v>29.464112903225804</v>
      </c>
      <c r="U8" s="14">
        <f>Q8+R8+S8+T8</f>
        <v>125.42419354838708</v>
      </c>
    </row>
    <row r="9" spans="1:21" x14ac:dyDescent="0.25">
      <c r="A9" s="30" t="s">
        <v>3</v>
      </c>
      <c r="B9" s="11">
        <f t="shared" si="0"/>
        <v>5.7290369530051764E-3</v>
      </c>
      <c r="C9" s="11" t="str">
        <f t="shared" ref="C9:C45" si="8">IF(M9/$P$46=0,"-",M9/$P$46)</f>
        <v>-</v>
      </c>
      <c r="D9" s="11">
        <f t="shared" ref="D9:D45" si="9">IF(N9/$P$46=0,"-",N9/$P$46)</f>
        <v>1.2126929214496648E-2</v>
      </c>
      <c r="E9" s="11">
        <f t="shared" ref="E9:E45" si="10">IF(O9/$P$46=0,"-",O9/$P$46)</f>
        <v>5.0392900983616158E-3</v>
      </c>
      <c r="F9" s="11">
        <f t="shared" si="2"/>
        <v>2.2895256265863438E-2</v>
      </c>
      <c r="G9" s="11">
        <f t="shared" si="3"/>
        <v>5.7290369530051764E-3</v>
      </c>
      <c r="H9" s="11" t="str">
        <f t="shared" si="4"/>
        <v>-</v>
      </c>
      <c r="I9" s="11">
        <f t="shared" si="5"/>
        <v>1.2126929214496648E-2</v>
      </c>
      <c r="J9" s="11">
        <f t="shared" si="6"/>
        <v>5.0392900983616158E-3</v>
      </c>
      <c r="K9" s="11">
        <f t="shared" si="7"/>
        <v>2.2895256265863438E-2</v>
      </c>
      <c r="L9" s="13">
        <v>298908</v>
      </c>
      <c r="M9" s="13"/>
      <c r="N9" s="13">
        <v>632713</v>
      </c>
      <c r="O9" s="13">
        <v>262921</v>
      </c>
      <c r="P9" s="13">
        <f t="shared" ref="P9:P45" si="11">SUM(L9:O9)</f>
        <v>1194542</v>
      </c>
      <c r="Q9" s="14">
        <f t="shared" ref="Q9:T47" si="12">IF(L9/744*1.15=0,"0",L9/744*1.15)</f>
        <v>462.02177419354837</v>
      </c>
      <c r="R9" s="14" t="str">
        <f t="shared" si="12"/>
        <v>0</v>
      </c>
      <c r="S9" s="14">
        <f t="shared" si="12"/>
        <v>977.98380376344073</v>
      </c>
      <c r="T9" s="14">
        <f t="shared" si="12"/>
        <v>406.39670698924726</v>
      </c>
      <c r="U9" s="14">
        <f t="shared" ref="U9:U47" si="13">Q9+R9+S9+T9</f>
        <v>1846.4022849462363</v>
      </c>
    </row>
    <row r="10" spans="1:21" x14ac:dyDescent="0.25">
      <c r="A10" s="30" t="s">
        <v>4</v>
      </c>
      <c r="B10" s="11" t="str">
        <f t="shared" si="0"/>
        <v>-</v>
      </c>
      <c r="C10" s="11" t="str">
        <f t="shared" si="8"/>
        <v>-</v>
      </c>
      <c r="D10" s="11">
        <f t="shared" si="9"/>
        <v>2.1209250991303864E-2</v>
      </c>
      <c r="E10" s="11">
        <f t="shared" si="10"/>
        <v>1.515122010271204E-2</v>
      </c>
      <c r="F10" s="11">
        <f t="shared" si="2"/>
        <v>3.6360471094015905E-2</v>
      </c>
      <c r="G10" s="11" t="str">
        <f t="shared" si="3"/>
        <v>-</v>
      </c>
      <c r="H10" s="11" t="str">
        <f t="shared" si="4"/>
        <v>-</v>
      </c>
      <c r="I10" s="11">
        <f t="shared" si="5"/>
        <v>2.1209250991303868E-2</v>
      </c>
      <c r="J10" s="11">
        <f t="shared" si="6"/>
        <v>1.5151220102712045E-2</v>
      </c>
      <c r="K10" s="11">
        <f t="shared" si="7"/>
        <v>3.6360471094015911E-2</v>
      </c>
      <c r="L10" s="13"/>
      <c r="M10" s="13"/>
      <c r="N10" s="13">
        <v>1106576</v>
      </c>
      <c r="O10" s="13">
        <v>790503</v>
      </c>
      <c r="P10" s="13">
        <f t="shared" si="11"/>
        <v>1897079</v>
      </c>
      <c r="Q10" s="14" t="str">
        <f t="shared" si="12"/>
        <v>0</v>
      </c>
      <c r="R10" s="14" t="str">
        <f t="shared" si="12"/>
        <v>0</v>
      </c>
      <c r="S10" s="14">
        <f t="shared" si="12"/>
        <v>1710.4333333333332</v>
      </c>
      <c r="T10" s="14">
        <f t="shared" si="12"/>
        <v>1221.8796370967743</v>
      </c>
      <c r="U10" s="14">
        <f t="shared" si="13"/>
        <v>2932.3129704301073</v>
      </c>
    </row>
    <row r="11" spans="1:21" x14ac:dyDescent="0.25">
      <c r="A11" s="30" t="s">
        <v>51</v>
      </c>
      <c r="B11" s="11" t="str">
        <f t="shared" si="0"/>
        <v>-</v>
      </c>
      <c r="C11" s="11" t="str">
        <f t="shared" si="8"/>
        <v>-</v>
      </c>
      <c r="D11" s="11">
        <f t="shared" si="9"/>
        <v>1.6090822182774044E-2</v>
      </c>
      <c r="E11" s="11">
        <f t="shared" si="10"/>
        <v>8.0835333714850029E-3</v>
      </c>
      <c r="F11" s="11">
        <f t="shared" si="2"/>
        <v>2.4174355554259043E-2</v>
      </c>
      <c r="G11" s="11" t="str">
        <f t="shared" si="3"/>
        <v>-</v>
      </c>
      <c r="H11" s="11" t="str">
        <f t="shared" si="4"/>
        <v>-</v>
      </c>
      <c r="I11" s="11">
        <f t="shared" si="5"/>
        <v>1.6090822182774044E-2</v>
      </c>
      <c r="J11" s="11">
        <f t="shared" si="6"/>
        <v>8.0835333714850029E-3</v>
      </c>
      <c r="K11" s="11">
        <f t="shared" si="7"/>
        <v>2.417435555425905E-2</v>
      </c>
      <c r="L11" s="13"/>
      <c r="M11" s="13"/>
      <c r="N11" s="13">
        <v>839526</v>
      </c>
      <c r="O11" s="13">
        <v>421752</v>
      </c>
      <c r="P11" s="13">
        <f t="shared" si="11"/>
        <v>1261278</v>
      </c>
      <c r="Q11" s="14" t="str">
        <f t="shared" si="12"/>
        <v>0</v>
      </c>
      <c r="R11" s="14" t="str">
        <f t="shared" si="12"/>
        <v>0</v>
      </c>
      <c r="S11" s="14">
        <f t="shared" si="12"/>
        <v>1297.6544354838709</v>
      </c>
      <c r="T11" s="14">
        <f t="shared" si="12"/>
        <v>651.90161290322578</v>
      </c>
      <c r="U11" s="14">
        <f t="shared" si="13"/>
        <v>1949.5560483870968</v>
      </c>
    </row>
    <row r="12" spans="1:21" x14ac:dyDescent="0.25">
      <c r="A12" s="30" t="s">
        <v>6</v>
      </c>
      <c r="B12" s="11" t="str">
        <f t="shared" si="0"/>
        <v>-</v>
      </c>
      <c r="C12" s="11" t="str">
        <f t="shared" si="8"/>
        <v>-</v>
      </c>
      <c r="D12" s="11">
        <f t="shared" si="9"/>
        <v>2.4480100457287195E-3</v>
      </c>
      <c r="E12" s="11">
        <f t="shared" si="10"/>
        <v>7.7641227139521448E-3</v>
      </c>
      <c r="F12" s="11">
        <f t="shared" si="2"/>
        <v>1.0212132759680864E-2</v>
      </c>
      <c r="G12" s="11" t="str">
        <f t="shared" si="3"/>
        <v>-</v>
      </c>
      <c r="H12" s="11" t="str">
        <f t="shared" si="4"/>
        <v>-</v>
      </c>
      <c r="I12" s="11">
        <f t="shared" si="5"/>
        <v>2.4480100457287195E-3</v>
      </c>
      <c r="J12" s="11">
        <f t="shared" si="6"/>
        <v>7.7641227139521466E-3</v>
      </c>
      <c r="K12" s="11">
        <f t="shared" si="7"/>
        <v>1.0212132759680866E-2</v>
      </c>
      <c r="L12" s="13"/>
      <c r="M12" s="13"/>
      <c r="N12" s="13">
        <v>127723</v>
      </c>
      <c r="O12" s="13">
        <v>405087</v>
      </c>
      <c r="P12" s="13">
        <f t="shared" si="11"/>
        <v>532810</v>
      </c>
      <c r="Q12" s="14" t="str">
        <f t="shared" si="12"/>
        <v>0</v>
      </c>
      <c r="R12" s="14" t="str">
        <f t="shared" si="12"/>
        <v>0</v>
      </c>
      <c r="S12" s="14">
        <f t="shared" si="12"/>
        <v>197.42130376344082</v>
      </c>
      <c r="T12" s="14">
        <f t="shared" si="12"/>
        <v>626.14254032258066</v>
      </c>
      <c r="U12" s="14">
        <f t="shared" si="13"/>
        <v>823.5638440860215</v>
      </c>
    </row>
    <row r="13" spans="1:21" x14ac:dyDescent="0.25">
      <c r="A13" s="30" t="s">
        <v>52</v>
      </c>
      <c r="B13" s="11">
        <f t="shared" si="0"/>
        <v>5.2071910465196464E-2</v>
      </c>
      <c r="C13" s="11">
        <f t="shared" si="8"/>
        <v>1.1870078196098938E-2</v>
      </c>
      <c r="D13" s="11">
        <f t="shared" si="9"/>
        <v>0.15102742132349134</v>
      </c>
      <c r="E13" s="11">
        <f t="shared" si="10"/>
        <v>4.1558441110392197E-2</v>
      </c>
      <c r="F13" s="11">
        <f t="shared" si="2"/>
        <v>0.25652785109517895</v>
      </c>
      <c r="G13" s="11">
        <f t="shared" si="3"/>
        <v>5.2071910465196478E-2</v>
      </c>
      <c r="H13" s="11">
        <f t="shared" si="4"/>
        <v>1.1870078196098938E-2</v>
      </c>
      <c r="I13" s="11">
        <f t="shared" si="5"/>
        <v>0.15102742132349137</v>
      </c>
      <c r="J13" s="11">
        <f t="shared" si="6"/>
        <v>4.1558441110392197E-2</v>
      </c>
      <c r="K13" s="11">
        <f t="shared" si="7"/>
        <v>0.256527851095179</v>
      </c>
      <c r="L13" s="13">
        <v>2716811</v>
      </c>
      <c r="M13" s="13">
        <v>619312</v>
      </c>
      <c r="N13" s="13">
        <v>7879737</v>
      </c>
      <c r="O13" s="13">
        <v>2168279</v>
      </c>
      <c r="P13" s="13">
        <f t="shared" si="11"/>
        <v>13384139</v>
      </c>
      <c r="Q13" s="14">
        <f t="shared" si="12"/>
        <v>4199.3718413978495</v>
      </c>
      <c r="R13" s="14">
        <f t="shared" si="12"/>
        <v>957.26989247311815</v>
      </c>
      <c r="S13" s="14">
        <f t="shared" si="12"/>
        <v>12179.701008064516</v>
      </c>
      <c r="T13" s="14">
        <f t="shared" si="12"/>
        <v>3351.5065188172039</v>
      </c>
      <c r="U13" s="14">
        <f t="shared" si="13"/>
        <v>20687.84926075269</v>
      </c>
    </row>
    <row r="14" spans="1:21" x14ac:dyDescent="0.25">
      <c r="A14" s="30" t="s">
        <v>54</v>
      </c>
      <c r="B14" s="11" t="str">
        <f t="shared" si="0"/>
        <v>-</v>
      </c>
      <c r="C14" s="11" t="str">
        <f t="shared" si="8"/>
        <v>-</v>
      </c>
      <c r="D14" s="11">
        <f t="shared" si="9"/>
        <v>7.4356271088242935E-3</v>
      </c>
      <c r="E14" s="11">
        <f t="shared" si="10"/>
        <v>5.496929958542356E-3</v>
      </c>
      <c r="F14" s="11">
        <f t="shared" si="2"/>
        <v>1.2932557067366649E-2</v>
      </c>
      <c r="G14" s="11" t="str">
        <f t="shared" si="3"/>
        <v>-</v>
      </c>
      <c r="H14" s="11" t="str">
        <f t="shared" si="4"/>
        <v>-</v>
      </c>
      <c r="I14" s="11">
        <f t="shared" si="5"/>
        <v>7.4356271088242935E-3</v>
      </c>
      <c r="J14" s="11">
        <f t="shared" si="6"/>
        <v>5.4969299585423568E-3</v>
      </c>
      <c r="K14" s="11">
        <f t="shared" si="7"/>
        <v>1.2932557067366649E-2</v>
      </c>
      <c r="L14" s="13"/>
      <c r="M14" s="13"/>
      <c r="N14" s="13">
        <v>387948</v>
      </c>
      <c r="O14" s="13">
        <v>286798</v>
      </c>
      <c r="P14" s="13">
        <f t="shared" si="11"/>
        <v>674746</v>
      </c>
      <c r="Q14" s="14" t="str">
        <f t="shared" si="12"/>
        <v>0</v>
      </c>
      <c r="R14" s="14" t="str">
        <f t="shared" si="12"/>
        <v>0</v>
      </c>
      <c r="S14" s="14">
        <f t="shared" si="12"/>
        <v>599.65080645161277</v>
      </c>
      <c r="T14" s="14">
        <f t="shared" si="12"/>
        <v>443.30336021505377</v>
      </c>
      <c r="U14" s="14">
        <f t="shared" si="13"/>
        <v>1042.9541666666664</v>
      </c>
    </row>
    <row r="15" spans="1:21" x14ac:dyDescent="0.25">
      <c r="A15" s="30" t="s">
        <v>7</v>
      </c>
      <c r="B15" s="11" t="str">
        <f t="shared" si="0"/>
        <v>-</v>
      </c>
      <c r="C15" s="11" t="str">
        <f t="shared" si="8"/>
        <v>-</v>
      </c>
      <c r="D15" s="11">
        <f t="shared" si="9"/>
        <v>5.3711398508082941E-3</v>
      </c>
      <c r="E15" s="11">
        <f t="shared" si="10"/>
        <v>2.1500275979241391E-3</v>
      </c>
      <c r="F15" s="11">
        <f t="shared" si="2"/>
        <v>7.5211674487324336E-3</v>
      </c>
      <c r="G15" s="11" t="str">
        <f t="shared" si="3"/>
        <v>-</v>
      </c>
      <c r="H15" s="11" t="str">
        <f t="shared" si="4"/>
        <v>-</v>
      </c>
      <c r="I15" s="11">
        <f t="shared" si="5"/>
        <v>5.3711398508082949E-3</v>
      </c>
      <c r="J15" s="11">
        <f t="shared" si="6"/>
        <v>2.1500275979241396E-3</v>
      </c>
      <c r="K15" s="11">
        <f t="shared" si="7"/>
        <v>7.5211674487324345E-3</v>
      </c>
      <c r="L15" s="13"/>
      <c r="M15" s="13"/>
      <c r="N15" s="13">
        <v>280235</v>
      </c>
      <c r="O15" s="13">
        <v>112176</v>
      </c>
      <c r="P15" s="13">
        <f t="shared" si="11"/>
        <v>392411</v>
      </c>
      <c r="Q15" s="14" t="str">
        <f t="shared" si="12"/>
        <v>0</v>
      </c>
      <c r="R15" s="14" t="str">
        <f t="shared" si="12"/>
        <v>0</v>
      </c>
      <c r="S15" s="14">
        <f t="shared" si="12"/>
        <v>433.15893817204301</v>
      </c>
      <c r="T15" s="14">
        <f t="shared" si="12"/>
        <v>173.39032258064515</v>
      </c>
      <c r="U15" s="14">
        <f t="shared" si="13"/>
        <v>606.54926075268816</v>
      </c>
    </row>
    <row r="16" spans="1:21" x14ac:dyDescent="0.25">
      <c r="A16" s="30" t="s">
        <v>9</v>
      </c>
      <c r="B16" s="11" t="str">
        <f t="shared" si="0"/>
        <v>-</v>
      </c>
      <c r="C16" s="11" t="str">
        <f t="shared" si="8"/>
        <v>-</v>
      </c>
      <c r="D16" s="11">
        <f t="shared" si="9"/>
        <v>4.8346487788009608E-3</v>
      </c>
      <c r="E16" s="11">
        <f t="shared" si="10"/>
        <v>5.3912264016090401E-3</v>
      </c>
      <c r="F16" s="11">
        <f t="shared" si="2"/>
        <v>1.0225875180410002E-2</v>
      </c>
      <c r="G16" s="11" t="str">
        <f t="shared" si="3"/>
        <v>-</v>
      </c>
      <c r="H16" s="11" t="str">
        <f t="shared" si="4"/>
        <v>-</v>
      </c>
      <c r="I16" s="11">
        <f t="shared" si="5"/>
        <v>4.8346487788009616E-3</v>
      </c>
      <c r="J16" s="11">
        <f t="shared" si="6"/>
        <v>5.3912264016090401E-3</v>
      </c>
      <c r="K16" s="11">
        <f t="shared" si="7"/>
        <v>1.0225875180410002E-2</v>
      </c>
      <c r="L16" s="13"/>
      <c r="M16" s="13"/>
      <c r="N16" s="13">
        <v>252244</v>
      </c>
      <c r="O16" s="13">
        <v>281283</v>
      </c>
      <c r="P16" s="13">
        <f t="shared" si="11"/>
        <v>533527</v>
      </c>
      <c r="Q16" s="14" t="str">
        <f t="shared" si="12"/>
        <v>0</v>
      </c>
      <c r="R16" s="14" t="str">
        <f t="shared" si="12"/>
        <v>0</v>
      </c>
      <c r="S16" s="14">
        <f t="shared" si="12"/>
        <v>389.89327956989246</v>
      </c>
      <c r="T16" s="14">
        <f t="shared" si="12"/>
        <v>434.77883064516124</v>
      </c>
      <c r="U16" s="14">
        <f t="shared" si="13"/>
        <v>824.67211021505364</v>
      </c>
    </row>
    <row r="17" spans="1:23" x14ac:dyDescent="0.25">
      <c r="A17" s="30" t="s">
        <v>10</v>
      </c>
      <c r="B17" s="11" t="str">
        <f t="shared" si="0"/>
        <v>-</v>
      </c>
      <c r="C17" s="11" t="str">
        <f t="shared" si="8"/>
        <v>-</v>
      </c>
      <c r="D17" s="11">
        <f t="shared" si="9"/>
        <v>1.0780421148270677E-2</v>
      </c>
      <c r="E17" s="11">
        <f t="shared" si="10"/>
        <v>4.8134697343020826E-3</v>
      </c>
      <c r="F17" s="11">
        <f t="shared" si="2"/>
        <v>1.5593890882572759E-2</v>
      </c>
      <c r="G17" s="11" t="str">
        <f t="shared" si="3"/>
        <v>-</v>
      </c>
      <c r="H17" s="11" t="str">
        <f t="shared" si="4"/>
        <v>-</v>
      </c>
      <c r="I17" s="11">
        <f t="shared" si="5"/>
        <v>1.0780421148270677E-2</v>
      </c>
      <c r="J17" s="11">
        <f t="shared" si="6"/>
        <v>4.8134697343020835E-3</v>
      </c>
      <c r="K17" s="11">
        <f t="shared" si="7"/>
        <v>1.5593890882572761E-2</v>
      </c>
      <c r="L17" s="13"/>
      <c r="M17" s="13"/>
      <c r="N17" s="13">
        <v>562460</v>
      </c>
      <c r="O17" s="13">
        <v>251139</v>
      </c>
      <c r="P17" s="13">
        <f t="shared" si="11"/>
        <v>813599</v>
      </c>
      <c r="Q17" s="14" t="str">
        <f t="shared" si="12"/>
        <v>0</v>
      </c>
      <c r="R17" s="14" t="str">
        <f t="shared" si="12"/>
        <v>0</v>
      </c>
      <c r="S17" s="14">
        <f t="shared" si="12"/>
        <v>869.39381720430106</v>
      </c>
      <c r="T17" s="14">
        <f t="shared" si="12"/>
        <v>388.18528225806449</v>
      </c>
      <c r="U17" s="14">
        <f t="shared" si="13"/>
        <v>1257.5790994623655</v>
      </c>
    </row>
    <row r="18" spans="1:23" x14ac:dyDescent="0.25">
      <c r="A18" s="30" t="s">
        <v>11</v>
      </c>
      <c r="B18" s="11" t="str">
        <f t="shared" si="0"/>
        <v>-</v>
      </c>
      <c r="C18" s="11" t="str">
        <f t="shared" si="8"/>
        <v>-</v>
      </c>
      <c r="D18" s="11">
        <f t="shared" si="9"/>
        <v>6.3576999933338714E-3</v>
      </c>
      <c r="E18" s="11">
        <f t="shared" si="10"/>
        <v>7.0338769262532639E-3</v>
      </c>
      <c r="F18" s="11">
        <f t="shared" si="2"/>
        <v>1.3391576919587136E-2</v>
      </c>
      <c r="G18" s="11" t="str">
        <f t="shared" si="3"/>
        <v>-</v>
      </c>
      <c r="H18" s="11" t="str">
        <f t="shared" si="4"/>
        <v>-</v>
      </c>
      <c r="I18" s="11">
        <f t="shared" si="5"/>
        <v>6.3576999933338731E-3</v>
      </c>
      <c r="J18" s="11">
        <f t="shared" si="6"/>
        <v>7.0338769262532639E-3</v>
      </c>
      <c r="K18" s="11">
        <f t="shared" si="7"/>
        <v>1.3391576919587138E-2</v>
      </c>
      <c r="L18" s="13"/>
      <c r="M18" s="13"/>
      <c r="N18" s="13">
        <v>331708</v>
      </c>
      <c r="O18" s="13">
        <v>366987</v>
      </c>
      <c r="P18" s="13">
        <f t="shared" si="11"/>
        <v>698695</v>
      </c>
      <c r="Q18" s="14" t="str">
        <f t="shared" si="12"/>
        <v>0</v>
      </c>
      <c r="R18" s="14" t="str">
        <f t="shared" si="12"/>
        <v>0</v>
      </c>
      <c r="S18" s="14">
        <f t="shared" si="12"/>
        <v>512.72069892473121</v>
      </c>
      <c r="T18" s="14">
        <f t="shared" si="12"/>
        <v>567.25141129032249</v>
      </c>
      <c r="U18" s="14">
        <f t="shared" si="13"/>
        <v>1079.9721102150538</v>
      </c>
    </row>
    <row r="19" spans="1:23" x14ac:dyDescent="0.25">
      <c r="A19" s="30" t="s">
        <v>12</v>
      </c>
      <c r="B19" s="11" t="str">
        <f t="shared" si="0"/>
        <v>-</v>
      </c>
      <c r="C19" s="11" t="str">
        <f t="shared" si="8"/>
        <v>-</v>
      </c>
      <c r="D19" s="11">
        <f t="shared" si="9"/>
        <v>8.3273127986173406E-3</v>
      </c>
      <c r="E19" s="11">
        <f t="shared" si="10"/>
        <v>2.4485850424119469E-3</v>
      </c>
      <c r="F19" s="11">
        <f t="shared" si="2"/>
        <v>1.0775897841029287E-2</v>
      </c>
      <c r="G19" s="11" t="str">
        <f t="shared" si="3"/>
        <v>-</v>
      </c>
      <c r="H19" s="11" t="str">
        <f t="shared" si="4"/>
        <v>-</v>
      </c>
      <c r="I19" s="11">
        <f t="shared" si="5"/>
        <v>8.3273127986173406E-3</v>
      </c>
      <c r="J19" s="11">
        <f t="shared" si="6"/>
        <v>2.4485850424119473E-3</v>
      </c>
      <c r="K19" s="11">
        <f t="shared" si="7"/>
        <v>1.0775897841029289E-2</v>
      </c>
      <c r="L19" s="13"/>
      <c r="M19" s="13"/>
      <c r="N19" s="13">
        <v>434471</v>
      </c>
      <c r="O19" s="13">
        <v>127753</v>
      </c>
      <c r="P19" s="13">
        <f t="shared" si="11"/>
        <v>562224</v>
      </c>
      <c r="Q19" s="14" t="str">
        <f t="shared" si="12"/>
        <v>0</v>
      </c>
      <c r="R19" s="14" t="str">
        <f t="shared" si="12"/>
        <v>0</v>
      </c>
      <c r="S19" s="14">
        <f t="shared" si="12"/>
        <v>671.56135752688169</v>
      </c>
      <c r="T19" s="14">
        <f t="shared" si="12"/>
        <v>197.4676747311828</v>
      </c>
      <c r="U19" s="14">
        <f t="shared" si="13"/>
        <v>869.02903225806449</v>
      </c>
    </row>
    <row r="20" spans="1:23" x14ac:dyDescent="0.25">
      <c r="A20" s="30" t="s">
        <v>13</v>
      </c>
      <c r="B20" s="11">
        <f t="shared" si="0"/>
        <v>1.185857826243439E-2</v>
      </c>
      <c r="C20" s="11" t="str">
        <f t="shared" si="8"/>
        <v>-</v>
      </c>
      <c r="D20" s="11">
        <f t="shared" si="9"/>
        <v>4.6297391274548001E-3</v>
      </c>
      <c r="E20" s="11">
        <f t="shared" si="10"/>
        <v>7.4041172905834288E-3</v>
      </c>
      <c r="F20" s="11">
        <f t="shared" si="2"/>
        <v>2.389243468047262E-2</v>
      </c>
      <c r="G20" s="11">
        <f t="shared" si="3"/>
        <v>1.185857826243439E-2</v>
      </c>
      <c r="H20" s="11" t="str">
        <f t="shared" si="4"/>
        <v>-</v>
      </c>
      <c r="I20" s="11">
        <f t="shared" si="5"/>
        <v>4.6297391274548001E-3</v>
      </c>
      <c r="J20" s="11">
        <f t="shared" si="6"/>
        <v>7.4041172905834306E-3</v>
      </c>
      <c r="K20" s="11">
        <f t="shared" si="7"/>
        <v>2.3892434680472616E-2</v>
      </c>
      <c r="L20" s="13">
        <v>618712</v>
      </c>
      <c r="M20" s="13"/>
      <c r="N20" s="13">
        <v>241553</v>
      </c>
      <c r="O20" s="13">
        <v>386304</v>
      </c>
      <c r="P20" s="13">
        <f t="shared" si="11"/>
        <v>1246569</v>
      </c>
      <c r="Q20" s="14">
        <f t="shared" si="12"/>
        <v>956.34247311827949</v>
      </c>
      <c r="R20" s="14" t="str">
        <f t="shared" si="12"/>
        <v>0</v>
      </c>
      <c r="S20" s="14">
        <f t="shared" si="12"/>
        <v>373.36821236559138</v>
      </c>
      <c r="T20" s="14">
        <f t="shared" si="12"/>
        <v>597.10967741935485</v>
      </c>
      <c r="U20" s="14">
        <f t="shared" si="13"/>
        <v>1926.8203629032255</v>
      </c>
    </row>
    <row r="21" spans="1:23" x14ac:dyDescent="0.25">
      <c r="A21" s="30" t="s">
        <v>14</v>
      </c>
      <c r="B21" s="11" t="str">
        <f t="shared" si="0"/>
        <v>-</v>
      </c>
      <c r="C21" s="11" t="str">
        <f t="shared" si="8"/>
        <v>-</v>
      </c>
      <c r="D21" s="11">
        <f t="shared" si="9"/>
        <v>1.1359826139402885E-2</v>
      </c>
      <c r="E21" s="11">
        <f t="shared" si="10"/>
        <v>1.3036861465704113E-2</v>
      </c>
      <c r="F21" s="11">
        <f t="shared" si="2"/>
        <v>2.4396687605106999E-2</v>
      </c>
      <c r="G21" s="11" t="str">
        <f t="shared" si="3"/>
        <v>-</v>
      </c>
      <c r="H21" s="11" t="str">
        <f t="shared" si="4"/>
        <v>-</v>
      </c>
      <c r="I21" s="11">
        <f t="shared" si="5"/>
        <v>1.1359826139402887E-2</v>
      </c>
      <c r="J21" s="11">
        <f t="shared" si="6"/>
        <v>1.3036861465704114E-2</v>
      </c>
      <c r="K21" s="11">
        <f t="shared" si="7"/>
        <v>2.4396687605107003E-2</v>
      </c>
      <c r="L21" s="13"/>
      <c r="M21" s="13"/>
      <c r="N21" s="13">
        <v>592690</v>
      </c>
      <c r="O21" s="13">
        <v>680188</v>
      </c>
      <c r="P21" s="13">
        <f t="shared" si="11"/>
        <v>1272878</v>
      </c>
      <c r="Q21" s="14" t="str">
        <f t="shared" si="12"/>
        <v>0</v>
      </c>
      <c r="R21" s="14" t="str">
        <f t="shared" si="12"/>
        <v>0</v>
      </c>
      <c r="S21" s="14">
        <f t="shared" si="12"/>
        <v>916.12029569892468</v>
      </c>
      <c r="T21" s="14">
        <f t="shared" si="12"/>
        <v>1051.3658602150538</v>
      </c>
      <c r="U21" s="14">
        <f t="shared" si="13"/>
        <v>1967.4861559139786</v>
      </c>
    </row>
    <row r="22" spans="1:23" x14ac:dyDescent="0.25">
      <c r="A22" s="30" t="s">
        <v>15</v>
      </c>
      <c r="B22" s="11" t="str">
        <f t="shared" si="0"/>
        <v>-</v>
      </c>
      <c r="C22" s="11" t="str">
        <f t="shared" si="8"/>
        <v>-</v>
      </c>
      <c r="D22" s="11">
        <f t="shared" si="9"/>
        <v>6.6071718876301614E-3</v>
      </c>
      <c r="E22" s="11">
        <f t="shared" si="10"/>
        <v>1.0138456518003318E-2</v>
      </c>
      <c r="F22" s="11">
        <f t="shared" si="2"/>
        <v>1.674562840563348E-2</v>
      </c>
      <c r="G22" s="11" t="str">
        <f t="shared" si="3"/>
        <v>-</v>
      </c>
      <c r="H22" s="11" t="str">
        <f t="shared" si="4"/>
        <v>-</v>
      </c>
      <c r="I22" s="11">
        <f t="shared" si="5"/>
        <v>6.6071718876301614E-3</v>
      </c>
      <c r="J22" s="11">
        <f t="shared" si="6"/>
        <v>1.013845651800332E-2</v>
      </c>
      <c r="K22" s="11">
        <f t="shared" si="7"/>
        <v>1.674562840563348E-2</v>
      </c>
      <c r="L22" s="13"/>
      <c r="M22" s="13"/>
      <c r="N22" s="13">
        <v>344724</v>
      </c>
      <c r="O22" s="13">
        <v>528966</v>
      </c>
      <c r="P22" s="13">
        <f t="shared" si="11"/>
        <v>873690</v>
      </c>
      <c r="Q22" s="14" t="str">
        <f t="shared" si="12"/>
        <v>0</v>
      </c>
      <c r="R22" s="14" t="str">
        <f t="shared" si="12"/>
        <v>0</v>
      </c>
      <c r="S22" s="14">
        <f t="shared" si="12"/>
        <v>532.83951612903218</v>
      </c>
      <c r="T22" s="14">
        <f t="shared" si="12"/>
        <v>817.62217741935478</v>
      </c>
      <c r="U22" s="14">
        <f t="shared" si="13"/>
        <v>1350.4616935483868</v>
      </c>
    </row>
    <row r="23" spans="1:23" x14ac:dyDescent="0.25">
      <c r="A23" s="30" t="s">
        <v>16</v>
      </c>
      <c r="B23" s="11" t="str">
        <f t="shared" si="0"/>
        <v>-</v>
      </c>
      <c r="C23" s="11" t="str">
        <f t="shared" si="8"/>
        <v>-</v>
      </c>
      <c r="D23" s="11">
        <f t="shared" si="9"/>
        <v>1.5858159358184101E-2</v>
      </c>
      <c r="E23" s="11">
        <f t="shared" si="10"/>
        <v>1.7202482437013809E-2</v>
      </c>
      <c r="F23" s="11">
        <f t="shared" si="2"/>
        <v>3.3060641795197909E-2</v>
      </c>
      <c r="G23" s="11" t="str">
        <f t="shared" si="3"/>
        <v>-</v>
      </c>
      <c r="H23" s="11" t="str">
        <f t="shared" si="4"/>
        <v>-</v>
      </c>
      <c r="I23" s="11">
        <f t="shared" si="5"/>
        <v>1.5858159358184104E-2</v>
      </c>
      <c r="J23" s="11">
        <f t="shared" si="6"/>
        <v>1.7202482437013809E-2</v>
      </c>
      <c r="K23" s="11">
        <f t="shared" si="7"/>
        <v>3.3060641795197909E-2</v>
      </c>
      <c r="L23" s="13"/>
      <c r="M23" s="13"/>
      <c r="N23" s="13">
        <v>827387</v>
      </c>
      <c r="O23" s="13">
        <v>897526</v>
      </c>
      <c r="P23" s="13">
        <f t="shared" si="11"/>
        <v>1724913</v>
      </c>
      <c r="Q23" s="14" t="str">
        <f t="shared" si="12"/>
        <v>0</v>
      </c>
      <c r="R23" s="14" t="str">
        <f t="shared" si="12"/>
        <v>0</v>
      </c>
      <c r="S23" s="14">
        <f t="shared" si="12"/>
        <v>1278.8911962365592</v>
      </c>
      <c r="T23" s="14">
        <f t="shared" si="12"/>
        <v>1387.3049731182793</v>
      </c>
      <c r="U23" s="14">
        <f t="shared" si="13"/>
        <v>2666.1961693548383</v>
      </c>
    </row>
    <row r="24" spans="1:23" x14ac:dyDescent="0.25">
      <c r="A24" s="30" t="s">
        <v>49</v>
      </c>
      <c r="B24" s="11" t="str">
        <f t="shared" si="0"/>
        <v>-</v>
      </c>
      <c r="C24" s="11" t="str">
        <f t="shared" si="8"/>
        <v>-</v>
      </c>
      <c r="D24" s="11">
        <f t="shared" si="9"/>
        <v>2.102973702680025E-3</v>
      </c>
      <c r="E24" s="11">
        <f t="shared" si="10"/>
        <v>3.3598972856591574E-4</v>
      </c>
      <c r="F24" s="11">
        <f t="shared" si="2"/>
        <v>2.4389634312459406E-3</v>
      </c>
      <c r="G24" s="11" t="str">
        <f t="shared" si="3"/>
        <v>-</v>
      </c>
      <c r="H24" s="11" t="str">
        <f t="shared" si="4"/>
        <v>-</v>
      </c>
      <c r="I24" s="11">
        <f t="shared" si="5"/>
        <v>2.102973702680025E-3</v>
      </c>
      <c r="J24" s="11">
        <f t="shared" si="6"/>
        <v>3.3598972856591574E-4</v>
      </c>
      <c r="K24" s="11">
        <f t="shared" si="7"/>
        <v>2.4389634312459406E-3</v>
      </c>
      <c r="L24" s="13"/>
      <c r="M24" s="13"/>
      <c r="N24" s="13">
        <v>109721</v>
      </c>
      <c r="O24" s="13">
        <v>17530</v>
      </c>
      <c r="P24" s="13">
        <f t="shared" si="11"/>
        <v>127251</v>
      </c>
      <c r="Q24" s="14" t="str">
        <f t="shared" si="12"/>
        <v>0</v>
      </c>
      <c r="R24" s="14" t="str">
        <f t="shared" si="12"/>
        <v>0</v>
      </c>
      <c r="S24" s="14">
        <f t="shared" si="12"/>
        <v>169.59563172043008</v>
      </c>
      <c r="T24" s="14">
        <f t="shared" si="12"/>
        <v>27.096102150537632</v>
      </c>
      <c r="U24" s="14">
        <f t="shared" si="13"/>
        <v>196.69173387096771</v>
      </c>
    </row>
    <row r="25" spans="1:23" x14ac:dyDescent="0.25">
      <c r="A25" s="30" t="s">
        <v>48</v>
      </c>
      <c r="B25" s="11" t="str">
        <f t="shared" si="0"/>
        <v>-</v>
      </c>
      <c r="C25" s="11" t="str">
        <f t="shared" si="8"/>
        <v>-</v>
      </c>
      <c r="D25" s="11">
        <f t="shared" si="9"/>
        <v>1.574609250462307E-3</v>
      </c>
      <c r="E25" s="11">
        <f t="shared" si="10"/>
        <v>1.0065891936580013E-3</v>
      </c>
      <c r="F25" s="11">
        <f t="shared" si="2"/>
        <v>2.5811984441203081E-3</v>
      </c>
      <c r="G25" s="11" t="str">
        <f t="shared" si="3"/>
        <v>-</v>
      </c>
      <c r="H25" s="11" t="str">
        <f t="shared" si="4"/>
        <v>-</v>
      </c>
      <c r="I25" s="11">
        <f t="shared" si="5"/>
        <v>1.574609250462307E-3</v>
      </c>
      <c r="J25" s="11">
        <f t="shared" si="6"/>
        <v>1.0065891936580013E-3</v>
      </c>
      <c r="K25" s="11">
        <f t="shared" si="7"/>
        <v>2.5811984441203081E-3</v>
      </c>
      <c r="L25" s="13"/>
      <c r="M25" s="13"/>
      <c r="N25" s="13">
        <v>82154</v>
      </c>
      <c r="O25" s="13">
        <v>52518</v>
      </c>
      <c r="P25" s="13">
        <f t="shared" si="11"/>
        <v>134672</v>
      </c>
      <c r="Q25" s="14" t="str">
        <f t="shared" si="12"/>
        <v>0</v>
      </c>
      <c r="R25" s="14" t="str">
        <f t="shared" si="12"/>
        <v>0</v>
      </c>
      <c r="S25" s="14">
        <f t="shared" si="12"/>
        <v>126.98534946236558</v>
      </c>
      <c r="T25" s="14">
        <f t="shared" si="12"/>
        <v>81.177016129032253</v>
      </c>
      <c r="U25" s="14">
        <f t="shared" si="13"/>
        <v>208.16236559139782</v>
      </c>
    </row>
    <row r="26" spans="1:23" x14ac:dyDescent="0.25">
      <c r="A26" s="30" t="s">
        <v>47</v>
      </c>
      <c r="B26" s="11" t="str">
        <f t="shared" si="0"/>
        <v>-</v>
      </c>
      <c r="C26" s="11" t="str">
        <f t="shared" si="8"/>
        <v>-</v>
      </c>
      <c r="D26" s="11">
        <f t="shared" si="9"/>
        <v>4.1339194875077562E-3</v>
      </c>
      <c r="E26" s="11">
        <f t="shared" si="10"/>
        <v>8.8750738056159314E-4</v>
      </c>
      <c r="F26" s="11">
        <f t="shared" si="2"/>
        <v>5.0214268680693497E-3</v>
      </c>
      <c r="G26" s="11" t="str">
        <f t="shared" si="3"/>
        <v>-</v>
      </c>
      <c r="H26" s="11" t="str">
        <f t="shared" si="4"/>
        <v>-</v>
      </c>
      <c r="I26" s="11">
        <f t="shared" si="5"/>
        <v>4.1339194875077562E-3</v>
      </c>
      <c r="J26" s="11">
        <f t="shared" si="6"/>
        <v>8.8750738056159314E-4</v>
      </c>
      <c r="K26" s="11">
        <f t="shared" si="7"/>
        <v>5.0214268680693489E-3</v>
      </c>
      <c r="L26" s="13"/>
      <c r="M26" s="13"/>
      <c r="N26" s="13">
        <f>61868+153816</f>
        <v>215684</v>
      </c>
      <c r="O26" s="13">
        <v>46305</v>
      </c>
      <c r="P26" s="13">
        <f t="shared" si="11"/>
        <v>261989</v>
      </c>
      <c r="Q26" s="14" t="str">
        <f t="shared" si="12"/>
        <v>0</v>
      </c>
      <c r="R26" s="14" t="str">
        <f t="shared" si="12"/>
        <v>0</v>
      </c>
      <c r="S26" s="14">
        <f t="shared" si="12"/>
        <v>333.38252688172037</v>
      </c>
      <c r="T26" s="14">
        <f t="shared" si="12"/>
        <v>71.573588709677409</v>
      </c>
      <c r="U26" s="14">
        <f t="shared" si="13"/>
        <v>404.95611559139775</v>
      </c>
    </row>
    <row r="27" spans="1:23" x14ac:dyDescent="0.25">
      <c r="A27" s="30" t="s">
        <v>45</v>
      </c>
      <c r="B27" s="11" t="str">
        <f t="shared" si="0"/>
        <v>-</v>
      </c>
      <c r="C27" s="11" t="str">
        <f t="shared" si="8"/>
        <v>-</v>
      </c>
      <c r="D27" s="11">
        <f t="shared" si="9"/>
        <v>1.2296879067502579E-3</v>
      </c>
      <c r="E27" s="11">
        <f t="shared" si="10"/>
        <v>5.2420339288676201E-3</v>
      </c>
      <c r="F27" s="11">
        <f t="shared" si="2"/>
        <v>6.4717218356178784E-3</v>
      </c>
      <c r="G27" s="11" t="str">
        <f t="shared" si="3"/>
        <v>-</v>
      </c>
      <c r="H27" s="11" t="str">
        <f t="shared" si="4"/>
        <v>-</v>
      </c>
      <c r="I27" s="11">
        <f t="shared" si="5"/>
        <v>1.2296879067502579E-3</v>
      </c>
      <c r="J27" s="11">
        <f t="shared" si="6"/>
        <v>5.2420339288676209E-3</v>
      </c>
      <c r="K27" s="11">
        <f t="shared" si="7"/>
        <v>6.4717218356178784E-3</v>
      </c>
      <c r="L27" s="13"/>
      <c r="M27" s="13"/>
      <c r="N27" s="13">
        <v>64158</v>
      </c>
      <c r="O27" s="13">
        <v>273499</v>
      </c>
      <c r="P27" s="13">
        <f t="shared" si="11"/>
        <v>337657</v>
      </c>
      <c r="Q27" s="14" t="str">
        <f t="shared" si="12"/>
        <v>0</v>
      </c>
      <c r="R27" s="14" t="str">
        <f t="shared" si="12"/>
        <v>0</v>
      </c>
      <c r="S27" s="14">
        <f t="shared" si="12"/>
        <v>99.168951612903214</v>
      </c>
      <c r="T27" s="14">
        <f t="shared" si="12"/>
        <v>422.74711021505374</v>
      </c>
      <c r="U27" s="14">
        <f t="shared" si="13"/>
        <v>521.91606182795692</v>
      </c>
    </row>
    <row r="28" spans="1:23" x14ac:dyDescent="0.25">
      <c r="A28" s="30" t="s">
        <v>30</v>
      </c>
      <c r="B28" s="11" t="str">
        <f t="shared" si="0"/>
        <v>-</v>
      </c>
      <c r="C28" s="11" t="str">
        <f t="shared" si="8"/>
        <v>-</v>
      </c>
      <c r="D28" s="11">
        <f t="shared" si="9"/>
        <v>8.019095409851311E-4</v>
      </c>
      <c r="E28" s="11">
        <f t="shared" si="10"/>
        <v>2.8905466596966848E-3</v>
      </c>
      <c r="F28" s="11">
        <f t="shared" si="2"/>
        <v>3.6924562006818156E-3</v>
      </c>
      <c r="G28" s="11" t="str">
        <f t="shared" si="3"/>
        <v>-</v>
      </c>
      <c r="H28" s="11" t="str">
        <f t="shared" si="4"/>
        <v>-</v>
      </c>
      <c r="I28" s="11">
        <f t="shared" si="5"/>
        <v>8.019095409851311E-4</v>
      </c>
      <c r="J28" s="11">
        <f t="shared" si="6"/>
        <v>2.8905466596966848E-3</v>
      </c>
      <c r="K28" s="11">
        <f t="shared" si="7"/>
        <v>3.6924562006818164E-3</v>
      </c>
      <c r="L28" s="13"/>
      <c r="M28" s="13"/>
      <c r="N28" s="13">
        <v>41839</v>
      </c>
      <c r="O28" s="13">
        <v>150812</v>
      </c>
      <c r="P28" s="13">
        <f t="shared" si="11"/>
        <v>192651</v>
      </c>
      <c r="Q28" s="14" t="str">
        <f t="shared" si="12"/>
        <v>0</v>
      </c>
      <c r="R28" s="14" t="str">
        <f t="shared" si="12"/>
        <v>0</v>
      </c>
      <c r="S28" s="14">
        <f t="shared" si="12"/>
        <v>64.670497311827944</v>
      </c>
      <c r="T28" s="14">
        <f t="shared" si="12"/>
        <v>233.10994623655913</v>
      </c>
      <c r="U28" s="14">
        <f t="shared" si="13"/>
        <v>297.7804435483871</v>
      </c>
    </row>
    <row r="29" spans="1:23" x14ac:dyDescent="0.25">
      <c r="A29" s="30" t="s">
        <v>50</v>
      </c>
      <c r="B29" s="11" t="str">
        <f t="shared" si="0"/>
        <v>-</v>
      </c>
      <c r="C29" s="11" t="str">
        <f t="shared" si="8"/>
        <v>-</v>
      </c>
      <c r="D29" s="11">
        <f t="shared" si="9"/>
        <v>5.8559003878812625E-3</v>
      </c>
      <c r="E29" s="11">
        <f t="shared" si="10"/>
        <v>1.3159374092343778E-3</v>
      </c>
      <c r="F29" s="11">
        <f t="shared" si="2"/>
        <v>7.1718377971156403E-3</v>
      </c>
      <c r="G29" s="11" t="str">
        <f t="shared" si="3"/>
        <v>-</v>
      </c>
      <c r="H29" s="11" t="str">
        <f t="shared" si="4"/>
        <v>-</v>
      </c>
      <c r="I29" s="11">
        <f t="shared" si="5"/>
        <v>5.8559003878812625E-3</v>
      </c>
      <c r="J29" s="11">
        <f t="shared" si="6"/>
        <v>1.3159374092343778E-3</v>
      </c>
      <c r="K29" s="11">
        <f t="shared" si="7"/>
        <v>7.1718377971156395E-3</v>
      </c>
      <c r="L29" s="13"/>
      <c r="M29" s="13"/>
      <c r="N29" s="13">
        <v>305527</v>
      </c>
      <c r="O29" s="13">
        <v>68658</v>
      </c>
      <c r="P29" s="13">
        <f t="shared" si="11"/>
        <v>374185</v>
      </c>
      <c r="Q29" s="14" t="str">
        <f t="shared" si="12"/>
        <v>0</v>
      </c>
      <c r="R29" s="14" t="str">
        <f t="shared" si="12"/>
        <v>0</v>
      </c>
      <c r="S29" s="14">
        <f t="shared" si="12"/>
        <v>472.252755376344</v>
      </c>
      <c r="T29" s="14">
        <f t="shared" si="12"/>
        <v>106.12459677419353</v>
      </c>
      <c r="U29" s="14">
        <f t="shared" si="13"/>
        <v>578.37735215053749</v>
      </c>
    </row>
    <row r="30" spans="1:23" x14ac:dyDescent="0.25">
      <c r="A30" s="30" t="s">
        <v>17</v>
      </c>
      <c r="B30" s="11" t="str">
        <f t="shared" si="0"/>
        <v>-</v>
      </c>
      <c r="C30" s="11" t="str">
        <f t="shared" si="8"/>
        <v>-</v>
      </c>
      <c r="D30" s="11">
        <f t="shared" si="9"/>
        <v>1.9122089697412595E-2</v>
      </c>
      <c r="E30" s="11">
        <f t="shared" si="10"/>
        <v>1.6192232431139261E-2</v>
      </c>
      <c r="F30" s="11">
        <f t="shared" si="2"/>
        <v>3.5314322128551852E-2</v>
      </c>
      <c r="G30" s="11" t="str">
        <f t="shared" si="3"/>
        <v>-</v>
      </c>
      <c r="H30" s="11" t="str">
        <f t="shared" si="4"/>
        <v>-</v>
      </c>
      <c r="I30" s="11">
        <f t="shared" si="5"/>
        <v>1.9122089697412598E-2</v>
      </c>
      <c r="J30" s="11">
        <f t="shared" si="6"/>
        <v>1.6192232431139264E-2</v>
      </c>
      <c r="K30" s="11">
        <f t="shared" si="7"/>
        <v>3.5314322128551866E-2</v>
      </c>
      <c r="L30" s="13"/>
      <c r="M30" s="13"/>
      <c r="N30" s="13">
        <v>997680</v>
      </c>
      <c r="O30" s="13">
        <v>844817</v>
      </c>
      <c r="P30" s="13">
        <f t="shared" si="11"/>
        <v>1842497</v>
      </c>
      <c r="Q30" s="14" t="str">
        <f t="shared" si="12"/>
        <v>0</v>
      </c>
      <c r="R30" s="14" t="str">
        <f t="shared" si="12"/>
        <v>0</v>
      </c>
      <c r="S30" s="14">
        <f t="shared" si="12"/>
        <v>1542.1129032258063</v>
      </c>
      <c r="T30" s="14">
        <f t="shared" si="12"/>
        <v>1305.8327284946238</v>
      </c>
      <c r="U30" s="14">
        <f t="shared" si="13"/>
        <v>2847.9456317204304</v>
      </c>
    </row>
    <row r="31" spans="1:23" x14ac:dyDescent="0.25">
      <c r="A31" s="30" t="s">
        <v>18</v>
      </c>
      <c r="B31" s="11">
        <f t="shared" si="0"/>
        <v>8.1219431499245966E-3</v>
      </c>
      <c r="C31" s="11" t="str">
        <f t="shared" si="8"/>
        <v>-</v>
      </c>
      <c r="D31" s="11">
        <f t="shared" si="9"/>
        <v>7.122664080766028E-2</v>
      </c>
      <c r="E31" s="11">
        <f t="shared" si="10"/>
        <v>3.0452380173853696E-2</v>
      </c>
      <c r="F31" s="11">
        <f t="shared" si="2"/>
        <v>0.10980096413143857</v>
      </c>
      <c r="G31" s="11">
        <f t="shared" si="3"/>
        <v>8.1219431499245983E-3</v>
      </c>
      <c r="H31" s="11" t="str">
        <f t="shared" si="4"/>
        <v>-</v>
      </c>
      <c r="I31" s="11">
        <f t="shared" si="5"/>
        <v>7.1226640807660294E-2</v>
      </c>
      <c r="J31" s="11">
        <f t="shared" si="6"/>
        <v>3.0452380173853703E-2</v>
      </c>
      <c r="K31" s="11">
        <f t="shared" si="7"/>
        <v>0.1098009641314386</v>
      </c>
      <c r="L31" s="13">
        <v>423756</v>
      </c>
      <c r="M31" s="13"/>
      <c r="N31" s="13">
        <v>3716194</v>
      </c>
      <c r="O31" s="13">
        <v>1588829</v>
      </c>
      <c r="P31" s="13">
        <f t="shared" si="11"/>
        <v>5728779</v>
      </c>
      <c r="Q31" s="14">
        <f t="shared" si="12"/>
        <v>654.9991935483871</v>
      </c>
      <c r="R31" s="14" t="str">
        <f t="shared" si="12"/>
        <v>0</v>
      </c>
      <c r="S31" s="14">
        <f t="shared" si="12"/>
        <v>5744.1170698924734</v>
      </c>
      <c r="T31" s="14">
        <f t="shared" si="12"/>
        <v>2455.8512768817204</v>
      </c>
      <c r="U31" s="14">
        <f t="shared" si="13"/>
        <v>8854.967540322581</v>
      </c>
      <c r="W31" s="31"/>
    </row>
    <row r="32" spans="1:23" x14ac:dyDescent="0.25">
      <c r="A32" s="30" t="s">
        <v>19</v>
      </c>
      <c r="B32" s="11" t="str">
        <f t="shared" si="0"/>
        <v>-</v>
      </c>
      <c r="C32" s="11" t="str">
        <f t="shared" si="8"/>
        <v>-</v>
      </c>
      <c r="D32" s="11">
        <f t="shared" si="9"/>
        <v>2.7752406581534701E-3</v>
      </c>
      <c r="E32" s="11">
        <f t="shared" si="10"/>
        <v>2.2983000759723951E-3</v>
      </c>
      <c r="F32" s="11">
        <f t="shared" si="2"/>
        <v>5.0735407341258656E-3</v>
      </c>
      <c r="G32" s="11" t="str">
        <f t="shared" si="3"/>
        <v>-</v>
      </c>
      <c r="H32" s="11" t="str">
        <f t="shared" si="4"/>
        <v>-</v>
      </c>
      <c r="I32" s="11">
        <f t="shared" si="5"/>
        <v>2.7752406581534705E-3</v>
      </c>
      <c r="J32" s="11">
        <f t="shared" si="6"/>
        <v>2.2983000759723956E-3</v>
      </c>
      <c r="K32" s="11">
        <f t="shared" si="7"/>
        <v>5.0735407341258656E-3</v>
      </c>
      <c r="L32" s="13"/>
      <c r="M32" s="13"/>
      <c r="N32" s="13">
        <v>144796</v>
      </c>
      <c r="O32" s="13">
        <v>119912</v>
      </c>
      <c r="P32" s="13">
        <f t="shared" si="11"/>
        <v>264708</v>
      </c>
      <c r="Q32" s="14" t="str">
        <f t="shared" si="12"/>
        <v>0</v>
      </c>
      <c r="R32" s="14" t="str">
        <f t="shared" si="12"/>
        <v>0</v>
      </c>
      <c r="S32" s="14">
        <f t="shared" si="12"/>
        <v>223.81102150537635</v>
      </c>
      <c r="T32" s="14">
        <f t="shared" si="12"/>
        <v>185.34784946236559</v>
      </c>
      <c r="U32" s="14">
        <f t="shared" si="13"/>
        <v>409.1588709677419</v>
      </c>
    </row>
    <row r="33" spans="1:21" x14ac:dyDescent="0.25">
      <c r="A33" s="30" t="s">
        <v>20</v>
      </c>
      <c r="B33" s="11">
        <f t="shared" si="0"/>
        <v>3.5814051745944844E-3</v>
      </c>
      <c r="C33" s="11" t="str">
        <f t="shared" si="8"/>
        <v>-</v>
      </c>
      <c r="D33" s="11">
        <f t="shared" si="9"/>
        <v>4.2227948081786145E-3</v>
      </c>
      <c r="E33" s="11" t="str">
        <f t="shared" si="10"/>
        <v>-</v>
      </c>
      <c r="F33" s="11">
        <f t="shared" si="2"/>
        <v>7.8041999827730994E-3</v>
      </c>
      <c r="G33" s="11">
        <f t="shared" si="3"/>
        <v>3.5814051745944844E-3</v>
      </c>
      <c r="H33" s="11" t="str">
        <f t="shared" si="4"/>
        <v>-</v>
      </c>
      <c r="I33" s="11">
        <f t="shared" si="5"/>
        <v>4.2227948081786154E-3</v>
      </c>
      <c r="J33" s="11" t="str">
        <f t="shared" si="6"/>
        <v>-</v>
      </c>
      <c r="K33" s="11">
        <f t="shared" si="7"/>
        <v>7.8041999827731003E-3</v>
      </c>
      <c r="L33" s="13">
        <v>186857</v>
      </c>
      <c r="M33" s="13"/>
      <c r="N33" s="13">
        <v>220321</v>
      </c>
      <c r="O33" s="13"/>
      <c r="P33" s="13">
        <f t="shared" si="11"/>
        <v>407178</v>
      </c>
      <c r="Q33" s="14">
        <f t="shared" si="12"/>
        <v>288.82466397849458</v>
      </c>
      <c r="R33" s="14" t="str">
        <f t="shared" si="12"/>
        <v>0</v>
      </c>
      <c r="S33" s="14">
        <f t="shared" si="12"/>
        <v>340.54993279569891</v>
      </c>
      <c r="T33" s="14" t="str">
        <f t="shared" si="12"/>
        <v>0</v>
      </c>
      <c r="U33" s="14">
        <f t="shared" si="13"/>
        <v>629.37459677419349</v>
      </c>
    </row>
    <row r="34" spans="1:21" x14ac:dyDescent="0.25">
      <c r="A34" s="30" t="s">
        <v>21</v>
      </c>
      <c r="B34" s="11">
        <f t="shared" si="0"/>
        <v>1.9700018863724522E-2</v>
      </c>
      <c r="C34" s="11" t="str">
        <f t="shared" si="8"/>
        <v>-</v>
      </c>
      <c r="D34" s="11">
        <f t="shared" si="9"/>
        <v>4.4737022775273624E-2</v>
      </c>
      <c r="E34" s="11">
        <f t="shared" si="10"/>
        <v>1.2947871145696607E-2</v>
      </c>
      <c r="F34" s="11">
        <f t="shared" si="2"/>
        <v>7.7384912784694754E-2</v>
      </c>
      <c r="G34" s="11">
        <f t="shared" si="3"/>
        <v>1.9700018863724522E-2</v>
      </c>
      <c r="H34" s="11" t="str">
        <f t="shared" si="4"/>
        <v>-</v>
      </c>
      <c r="I34" s="11">
        <f t="shared" si="5"/>
        <v>4.4737022775273631E-2</v>
      </c>
      <c r="J34" s="11">
        <f t="shared" si="6"/>
        <v>1.2947871145696611E-2</v>
      </c>
      <c r="K34" s="11">
        <f t="shared" si="7"/>
        <v>7.7384912784694768E-2</v>
      </c>
      <c r="L34" s="13">
        <v>1027833</v>
      </c>
      <c r="M34" s="13"/>
      <c r="N34" s="13">
        <v>2334119</v>
      </c>
      <c r="O34" s="13">
        <v>675545</v>
      </c>
      <c r="P34" s="13">
        <f t="shared" si="11"/>
        <v>4037497</v>
      </c>
      <c r="Q34" s="14">
        <f t="shared" si="12"/>
        <v>1588.7203629032256</v>
      </c>
      <c r="R34" s="14" t="str">
        <f t="shared" si="12"/>
        <v>0</v>
      </c>
      <c r="S34" s="14">
        <f t="shared" si="12"/>
        <v>3607.8452284946234</v>
      </c>
      <c r="T34" s="14">
        <f t="shared" si="12"/>
        <v>1044.1891801075269</v>
      </c>
      <c r="U34" s="14">
        <f t="shared" si="13"/>
        <v>6240.7547715053761</v>
      </c>
    </row>
    <row r="35" spans="1:21" x14ac:dyDescent="0.25">
      <c r="A35" s="30" t="s">
        <v>22</v>
      </c>
      <c r="B35" s="11" t="str">
        <f t="shared" si="0"/>
        <v>-</v>
      </c>
      <c r="C35" s="11" t="str">
        <f t="shared" si="8"/>
        <v>-</v>
      </c>
      <c r="D35" s="11">
        <f t="shared" si="9"/>
        <v>1.2671566072849702E-2</v>
      </c>
      <c r="E35" s="11">
        <f t="shared" si="10"/>
        <v>1.7015608514964881E-2</v>
      </c>
      <c r="F35" s="11">
        <f t="shared" si="2"/>
        <v>2.9687174587814585E-2</v>
      </c>
      <c r="G35" s="11" t="str">
        <f t="shared" si="3"/>
        <v>-</v>
      </c>
      <c r="H35" s="11" t="str">
        <f t="shared" si="4"/>
        <v>-</v>
      </c>
      <c r="I35" s="11">
        <f t="shared" si="5"/>
        <v>1.2671566072849704E-2</v>
      </c>
      <c r="J35" s="11">
        <f t="shared" si="6"/>
        <v>1.7015608514964881E-2</v>
      </c>
      <c r="K35" s="11">
        <f t="shared" si="7"/>
        <v>2.9687174587814589E-2</v>
      </c>
      <c r="L35" s="13"/>
      <c r="M35" s="13"/>
      <c r="N35" s="13">
        <v>661129</v>
      </c>
      <c r="O35" s="13">
        <v>887776</v>
      </c>
      <c r="P35" s="13">
        <f t="shared" si="11"/>
        <v>1548905</v>
      </c>
      <c r="Q35" s="14" t="str">
        <f t="shared" si="12"/>
        <v>0</v>
      </c>
      <c r="R35" s="14" t="str">
        <f t="shared" si="12"/>
        <v>0</v>
      </c>
      <c r="S35" s="14">
        <f t="shared" si="12"/>
        <v>1021.9063844086021</v>
      </c>
      <c r="T35" s="14">
        <f t="shared" si="12"/>
        <v>1372.2344086021503</v>
      </c>
      <c r="U35" s="14">
        <f t="shared" si="13"/>
        <v>2394.1407930107525</v>
      </c>
    </row>
    <row r="36" spans="1:21" x14ac:dyDescent="0.25">
      <c r="A36" s="30" t="s">
        <v>23</v>
      </c>
      <c r="B36" s="11" t="str">
        <f t="shared" si="0"/>
        <v>-</v>
      </c>
      <c r="C36" s="11" t="str">
        <f t="shared" si="8"/>
        <v>-</v>
      </c>
      <c r="D36" s="11">
        <f t="shared" si="9"/>
        <v>5.2516363734775187E-4</v>
      </c>
      <c r="E36" s="11">
        <f t="shared" si="10"/>
        <v>1.1528300167588533E-3</v>
      </c>
      <c r="F36" s="11">
        <f t="shared" si="2"/>
        <v>1.6779936541066053E-3</v>
      </c>
      <c r="G36" s="11" t="str">
        <f t="shared" si="3"/>
        <v>-</v>
      </c>
      <c r="H36" s="11" t="str">
        <f t="shared" si="4"/>
        <v>-</v>
      </c>
      <c r="I36" s="11">
        <f t="shared" si="5"/>
        <v>5.2516363734775198E-4</v>
      </c>
      <c r="J36" s="11">
        <f t="shared" si="6"/>
        <v>1.1528300167588535E-3</v>
      </c>
      <c r="K36" s="11">
        <f t="shared" si="7"/>
        <v>1.6779936541066055E-3</v>
      </c>
      <c r="L36" s="13"/>
      <c r="M36" s="13"/>
      <c r="N36" s="13">
        <f>17160+10240</f>
        <v>27400</v>
      </c>
      <c r="O36" s="13">
        <v>60148</v>
      </c>
      <c r="P36" s="13">
        <f t="shared" si="11"/>
        <v>87548</v>
      </c>
      <c r="Q36" s="14" t="str">
        <f t="shared" si="12"/>
        <v>0</v>
      </c>
      <c r="R36" s="14" t="str">
        <f t="shared" si="12"/>
        <v>0</v>
      </c>
      <c r="S36" s="14">
        <f t="shared" si="12"/>
        <v>42.352150537634408</v>
      </c>
      <c r="T36" s="14">
        <f t="shared" si="12"/>
        <v>92.970698924731181</v>
      </c>
      <c r="U36" s="14">
        <f t="shared" si="13"/>
        <v>135.32284946236558</v>
      </c>
    </row>
    <row r="37" spans="1:21" x14ac:dyDescent="0.25">
      <c r="A37" s="30" t="s">
        <v>24</v>
      </c>
      <c r="B37" s="11">
        <f t="shared" si="0"/>
        <v>8.0644434816018497E-3</v>
      </c>
      <c r="C37" s="11" t="str">
        <f t="shared" si="8"/>
        <v>-</v>
      </c>
      <c r="D37" s="11">
        <f t="shared" si="9"/>
        <v>1.7346020775703491E-2</v>
      </c>
      <c r="E37" s="11">
        <f t="shared" si="10"/>
        <v>4.5007098717385566E-3</v>
      </c>
      <c r="F37" s="11">
        <f t="shared" si="2"/>
        <v>2.9911174129043899E-2</v>
      </c>
      <c r="G37" s="11">
        <f t="shared" si="3"/>
        <v>8.0644434816018497E-3</v>
      </c>
      <c r="H37" s="11" t="str">
        <f t="shared" si="4"/>
        <v>-</v>
      </c>
      <c r="I37" s="11">
        <f t="shared" si="5"/>
        <v>1.7346020775703495E-2</v>
      </c>
      <c r="J37" s="11">
        <f t="shared" si="6"/>
        <v>4.5007098717385575E-3</v>
      </c>
      <c r="K37" s="11">
        <f t="shared" si="7"/>
        <v>2.9911174129043903E-2</v>
      </c>
      <c r="L37" s="13">
        <v>420756</v>
      </c>
      <c r="M37" s="13"/>
      <c r="N37" s="13">
        <v>905015</v>
      </c>
      <c r="O37" s="13">
        <v>234821</v>
      </c>
      <c r="P37" s="13">
        <f t="shared" si="11"/>
        <v>1560592</v>
      </c>
      <c r="Q37" s="14">
        <f t="shared" si="12"/>
        <v>650.36209677419345</v>
      </c>
      <c r="R37" s="14" t="str">
        <f t="shared" si="12"/>
        <v>0</v>
      </c>
      <c r="S37" s="14">
        <f t="shared" si="12"/>
        <v>1398.8807123655913</v>
      </c>
      <c r="T37" s="14">
        <f t="shared" si="12"/>
        <v>362.96256720430108</v>
      </c>
      <c r="U37" s="14">
        <f t="shared" si="13"/>
        <v>2412.2053763440858</v>
      </c>
    </row>
    <row r="38" spans="1:21" x14ac:dyDescent="0.25">
      <c r="A38" s="30" t="s">
        <v>56</v>
      </c>
      <c r="B38" s="11">
        <f t="shared" si="0"/>
        <v>5.3469324904444173E-3</v>
      </c>
      <c r="C38" s="11" t="str">
        <f t="shared" si="8"/>
        <v>-</v>
      </c>
      <c r="D38" s="11">
        <f t="shared" si="9"/>
        <v>3.1215304939716006E-2</v>
      </c>
      <c r="E38" s="11">
        <f t="shared" si="10"/>
        <v>1.096691173919745E-3</v>
      </c>
      <c r="F38" s="11">
        <f t="shared" si="2"/>
        <v>3.7658928604080169E-2</v>
      </c>
      <c r="G38" s="11">
        <f t="shared" si="3"/>
        <v>5.3469324904444173E-3</v>
      </c>
      <c r="H38" s="11" t="str">
        <f t="shared" si="4"/>
        <v>-</v>
      </c>
      <c r="I38" s="11">
        <f t="shared" si="5"/>
        <v>3.1215304939716009E-2</v>
      </c>
      <c r="J38" s="11">
        <f t="shared" si="6"/>
        <v>1.0966911739197453E-3</v>
      </c>
      <c r="K38" s="11">
        <f t="shared" si="7"/>
        <v>3.7658928604080176E-2</v>
      </c>
      <c r="L38" s="13">
        <v>278972</v>
      </c>
      <c r="M38" s="13"/>
      <c r="N38" s="13">
        <v>1628634</v>
      </c>
      <c r="O38" s="13">
        <v>57219</v>
      </c>
      <c r="P38" s="13">
        <f t="shared" si="11"/>
        <v>1964825</v>
      </c>
      <c r="Q38" s="14">
        <f t="shared" si="12"/>
        <v>431.20672043010745</v>
      </c>
      <c r="R38" s="14" t="str">
        <f t="shared" si="12"/>
        <v>0</v>
      </c>
      <c r="S38" s="14">
        <f t="shared" si="12"/>
        <v>2517.377822580645</v>
      </c>
      <c r="T38" s="14">
        <f t="shared" si="12"/>
        <v>88.443346774193543</v>
      </c>
      <c r="U38" s="14">
        <f t="shared" si="13"/>
        <v>3037.0278897849462</v>
      </c>
    </row>
    <row r="39" spans="1:21" x14ac:dyDescent="0.25">
      <c r="A39" s="30" t="s">
        <v>25</v>
      </c>
      <c r="B39" s="11" t="str">
        <f t="shared" si="0"/>
        <v>-</v>
      </c>
      <c r="C39" s="11" t="str">
        <f t="shared" si="8"/>
        <v>-</v>
      </c>
      <c r="D39" s="11">
        <f t="shared" si="9"/>
        <v>9.003547231205054E-3</v>
      </c>
      <c r="E39" s="11">
        <f t="shared" si="10"/>
        <v>9.7445262903241812E-3</v>
      </c>
      <c r="F39" s="11">
        <f t="shared" si="2"/>
        <v>1.8748073521529237E-2</v>
      </c>
      <c r="G39" s="11" t="str">
        <f t="shared" si="3"/>
        <v>-</v>
      </c>
      <c r="H39" s="11" t="str">
        <f t="shared" si="4"/>
        <v>-</v>
      </c>
      <c r="I39" s="11">
        <f t="shared" si="5"/>
        <v>9.003547231205054E-3</v>
      </c>
      <c r="J39" s="11">
        <f t="shared" si="6"/>
        <v>9.744526290324183E-3</v>
      </c>
      <c r="K39" s="11">
        <f t="shared" si="7"/>
        <v>1.8748073521529237E-2</v>
      </c>
      <c r="L39" s="13"/>
      <c r="M39" s="13"/>
      <c r="N39" s="13">
        <v>469753</v>
      </c>
      <c r="O39" s="13">
        <v>508413</v>
      </c>
      <c r="P39" s="13">
        <f t="shared" si="11"/>
        <v>978166</v>
      </c>
      <c r="Q39" s="14" t="str">
        <f t="shared" si="12"/>
        <v>0</v>
      </c>
      <c r="R39" s="14" t="str">
        <f t="shared" si="12"/>
        <v>0</v>
      </c>
      <c r="S39" s="14">
        <f t="shared" si="12"/>
        <v>726.0967069892472</v>
      </c>
      <c r="T39" s="14">
        <f t="shared" si="12"/>
        <v>785.85342741935483</v>
      </c>
      <c r="U39" s="14">
        <f t="shared" si="13"/>
        <v>1511.950134408602</v>
      </c>
    </row>
    <row r="40" spans="1:21" x14ac:dyDescent="0.25">
      <c r="A40" s="30" t="s">
        <v>31</v>
      </c>
      <c r="B40" s="11">
        <f t="shared" si="0"/>
        <v>1.5048717360648691E-2</v>
      </c>
      <c r="C40" s="11" t="str">
        <f t="shared" si="8"/>
        <v>-</v>
      </c>
      <c r="D40" s="11">
        <f t="shared" si="9"/>
        <v>9.8647197636748292E-3</v>
      </c>
      <c r="E40" s="11">
        <f t="shared" si="10"/>
        <v>1.3800035396795819E-2</v>
      </c>
      <c r="F40" s="11">
        <f t="shared" si="2"/>
        <v>3.8713472521119341E-2</v>
      </c>
      <c r="G40" s="11">
        <f t="shared" si="3"/>
        <v>1.5048717360648695E-2</v>
      </c>
      <c r="H40" s="11" t="str">
        <f t="shared" si="4"/>
        <v>-</v>
      </c>
      <c r="I40" s="11">
        <f t="shared" si="5"/>
        <v>9.8647197636748309E-3</v>
      </c>
      <c r="J40" s="11">
        <f t="shared" si="6"/>
        <v>1.3800035396795821E-2</v>
      </c>
      <c r="K40" s="11">
        <f t="shared" si="7"/>
        <v>3.8713472521119348E-2</v>
      </c>
      <c r="L40" s="13">
        <f>158995+626160</f>
        <v>785155</v>
      </c>
      <c r="M40" s="13"/>
      <c r="N40" s="13">
        <v>514684</v>
      </c>
      <c r="O40" s="13">
        <v>720006</v>
      </c>
      <c r="P40" s="13">
        <f t="shared" si="11"/>
        <v>2019845</v>
      </c>
      <c r="Q40" s="14">
        <f t="shared" si="12"/>
        <v>1213.6132392473119</v>
      </c>
      <c r="R40" s="14" t="str">
        <f t="shared" si="12"/>
        <v>0</v>
      </c>
      <c r="S40" s="14">
        <f t="shared" si="12"/>
        <v>795.54650537634404</v>
      </c>
      <c r="T40" s="14">
        <f t="shared" si="12"/>
        <v>1112.9124999999999</v>
      </c>
      <c r="U40" s="14">
        <f t="shared" si="13"/>
        <v>3122.0722446236559</v>
      </c>
    </row>
    <row r="41" spans="1:21" x14ac:dyDescent="0.25">
      <c r="A41" s="30" t="s">
        <v>26</v>
      </c>
      <c r="B41" s="11" t="str">
        <f t="shared" si="0"/>
        <v>-</v>
      </c>
      <c r="C41" s="11" t="str">
        <f t="shared" si="8"/>
        <v>-</v>
      </c>
      <c r="D41" s="11">
        <f t="shared" si="9"/>
        <v>2.0557128086299489E-2</v>
      </c>
      <c r="E41" s="11">
        <f t="shared" si="10"/>
        <v>1.1057742048591283E-2</v>
      </c>
      <c r="F41" s="11">
        <f t="shared" si="2"/>
        <v>3.1614870134890768E-2</v>
      </c>
      <c r="G41" s="11" t="str">
        <f t="shared" si="3"/>
        <v>-</v>
      </c>
      <c r="H41" s="11" t="str">
        <f t="shared" si="4"/>
        <v>-</v>
      </c>
      <c r="I41" s="11">
        <f t="shared" si="5"/>
        <v>2.0557128086299489E-2</v>
      </c>
      <c r="J41" s="11">
        <f t="shared" si="6"/>
        <v>1.1057742048591284E-2</v>
      </c>
      <c r="K41" s="11">
        <f t="shared" si="7"/>
        <v>3.1614870134890768E-2</v>
      </c>
      <c r="L41" s="13"/>
      <c r="M41" s="13"/>
      <c r="N41" s="13">
        <v>1072552</v>
      </c>
      <c r="O41" s="13">
        <v>576929</v>
      </c>
      <c r="P41" s="13">
        <f t="shared" si="11"/>
        <v>1649481</v>
      </c>
      <c r="Q41" s="14" t="str">
        <f t="shared" si="12"/>
        <v>0</v>
      </c>
      <c r="R41" s="14" t="str">
        <f t="shared" si="12"/>
        <v>0</v>
      </c>
      <c r="S41" s="14">
        <f t="shared" si="12"/>
        <v>1657.8424731182793</v>
      </c>
      <c r="T41" s="14">
        <f t="shared" si="12"/>
        <v>891.75853494623652</v>
      </c>
      <c r="U41" s="14">
        <f t="shared" si="13"/>
        <v>2549.6010080645156</v>
      </c>
    </row>
    <row r="42" spans="1:21" x14ac:dyDescent="0.25">
      <c r="A42" s="30" t="s">
        <v>55</v>
      </c>
      <c r="B42" s="11" t="str">
        <f t="shared" si="0"/>
        <v>-</v>
      </c>
      <c r="C42" s="11" t="str">
        <f t="shared" si="8"/>
        <v>-</v>
      </c>
      <c r="D42" s="11">
        <f t="shared" si="9"/>
        <v>1.0941036888452214E-3</v>
      </c>
      <c r="E42" s="11">
        <f t="shared" si="10"/>
        <v>2.4268693343420565E-4</v>
      </c>
      <c r="F42" s="11">
        <f t="shared" si="2"/>
        <v>1.3367906222794272E-3</v>
      </c>
      <c r="G42" s="11" t="str">
        <f t="shared" si="3"/>
        <v>-</v>
      </c>
      <c r="H42" s="11" t="str">
        <f t="shared" si="4"/>
        <v>-</v>
      </c>
      <c r="I42" s="11">
        <f t="shared" si="5"/>
        <v>1.0941036888452214E-3</v>
      </c>
      <c r="J42" s="11">
        <f t="shared" si="6"/>
        <v>2.4268693343420568E-4</v>
      </c>
      <c r="K42" s="11">
        <f t="shared" si="7"/>
        <v>1.336790622279427E-3</v>
      </c>
      <c r="L42" s="13"/>
      <c r="M42" s="13"/>
      <c r="N42" s="13">
        <v>57084</v>
      </c>
      <c r="O42" s="13">
        <v>12662</v>
      </c>
      <c r="P42" s="13">
        <f t="shared" si="11"/>
        <v>69746</v>
      </c>
      <c r="Q42" s="14" t="str">
        <f t="shared" si="12"/>
        <v>0</v>
      </c>
      <c r="R42" s="14" t="str">
        <f t="shared" si="12"/>
        <v>0</v>
      </c>
      <c r="S42" s="14">
        <f t="shared" si="12"/>
        <v>88.234677419354824</v>
      </c>
      <c r="T42" s="14">
        <f t="shared" si="12"/>
        <v>19.571639784946235</v>
      </c>
      <c r="U42" s="14">
        <f t="shared" si="13"/>
        <v>107.80631720430105</v>
      </c>
    </row>
    <row r="43" spans="1:21" x14ac:dyDescent="0.25">
      <c r="A43" s="30" t="s">
        <v>27</v>
      </c>
      <c r="B43" s="11" t="str">
        <f t="shared" si="0"/>
        <v>-</v>
      </c>
      <c r="C43" s="11" t="str">
        <f t="shared" si="8"/>
        <v>-</v>
      </c>
      <c r="D43" s="11">
        <f t="shared" si="9"/>
        <v>1.1137110757432781E-3</v>
      </c>
      <c r="E43" s="11">
        <f t="shared" si="10"/>
        <v>3.7709432479423647E-3</v>
      </c>
      <c r="F43" s="11">
        <f t="shared" si="2"/>
        <v>4.884654323685643E-3</v>
      </c>
      <c r="G43" s="11" t="str">
        <f t="shared" si="3"/>
        <v>-</v>
      </c>
      <c r="H43" s="11" t="str">
        <f t="shared" si="4"/>
        <v>-</v>
      </c>
      <c r="I43" s="11">
        <f t="shared" si="5"/>
        <v>1.1137110757432781E-3</v>
      </c>
      <c r="J43" s="11">
        <f t="shared" si="6"/>
        <v>3.7709432479423647E-3</v>
      </c>
      <c r="K43" s="11">
        <f t="shared" si="7"/>
        <v>4.884654323685643E-3</v>
      </c>
      <c r="L43" s="13"/>
      <c r="M43" s="13"/>
      <c r="N43" s="13">
        <v>58107</v>
      </c>
      <c r="O43" s="13">
        <v>196746</v>
      </c>
      <c r="P43" s="13">
        <f t="shared" si="11"/>
        <v>254853</v>
      </c>
      <c r="Q43" s="14" t="str">
        <f t="shared" si="12"/>
        <v>0</v>
      </c>
      <c r="R43" s="14" t="str">
        <f t="shared" si="12"/>
        <v>0</v>
      </c>
      <c r="S43" s="14">
        <f t="shared" si="12"/>
        <v>89.815927419354821</v>
      </c>
      <c r="T43" s="14">
        <f t="shared" si="12"/>
        <v>304.11008064516125</v>
      </c>
      <c r="U43" s="14">
        <f t="shared" si="13"/>
        <v>393.92600806451605</v>
      </c>
    </row>
    <row r="44" spans="1:21" x14ac:dyDescent="0.25">
      <c r="A44" s="30" t="s">
        <v>32</v>
      </c>
      <c r="B44" s="11" t="str">
        <f t="shared" si="0"/>
        <v>-</v>
      </c>
      <c r="C44" s="11" t="str">
        <f t="shared" si="8"/>
        <v>-</v>
      </c>
      <c r="D44" s="11">
        <f t="shared" si="9"/>
        <v>3.4672108333055097E-3</v>
      </c>
      <c r="E44" s="11">
        <f t="shared" si="10"/>
        <v>1.2460561456661332E-3</v>
      </c>
      <c r="F44" s="11">
        <f t="shared" si="2"/>
        <v>4.7132669789716431E-3</v>
      </c>
      <c r="G44" s="11" t="str">
        <f t="shared" si="3"/>
        <v>-</v>
      </c>
      <c r="H44" s="11" t="str">
        <f t="shared" si="4"/>
        <v>-</v>
      </c>
      <c r="I44" s="11">
        <f t="shared" si="5"/>
        <v>3.4672108333055102E-3</v>
      </c>
      <c r="J44" s="11">
        <f t="shared" si="6"/>
        <v>1.246056145666133E-3</v>
      </c>
      <c r="K44" s="11">
        <f t="shared" si="7"/>
        <v>4.7132669789716431E-3</v>
      </c>
      <c r="L44" s="13"/>
      <c r="M44" s="13"/>
      <c r="N44" s="13">
        <v>180899</v>
      </c>
      <c r="O44" s="13">
        <v>65012</v>
      </c>
      <c r="P44" s="13">
        <f t="shared" si="11"/>
        <v>245911</v>
      </c>
      <c r="Q44" s="14" t="str">
        <f t="shared" si="12"/>
        <v>0</v>
      </c>
      <c r="R44" s="14" t="str">
        <f t="shared" si="12"/>
        <v>0</v>
      </c>
      <c r="S44" s="14">
        <f t="shared" si="12"/>
        <v>279.61538978494622</v>
      </c>
      <c r="T44" s="14">
        <f t="shared" si="12"/>
        <v>100.48897849462364</v>
      </c>
      <c r="U44" s="14">
        <f t="shared" si="13"/>
        <v>380.10436827956983</v>
      </c>
    </row>
    <row r="45" spans="1:21" x14ac:dyDescent="0.25">
      <c r="A45" s="30" t="s">
        <v>28</v>
      </c>
      <c r="B45" s="11" t="str">
        <f t="shared" si="0"/>
        <v>-</v>
      </c>
      <c r="C45" s="11" t="str">
        <f t="shared" si="8"/>
        <v>-</v>
      </c>
      <c r="D45" s="11">
        <f t="shared" si="9"/>
        <v>7.5077508594571258E-3</v>
      </c>
      <c r="E45" s="11">
        <f t="shared" si="10"/>
        <v>1.0528630100685369E-2</v>
      </c>
      <c r="F45" s="11">
        <f t="shared" si="2"/>
        <v>1.8036380960142494E-2</v>
      </c>
      <c r="G45" s="11" t="str">
        <f t="shared" si="3"/>
        <v>-</v>
      </c>
      <c r="H45" s="11" t="str">
        <f t="shared" si="4"/>
        <v>-</v>
      </c>
      <c r="I45" s="11">
        <f t="shared" si="5"/>
        <v>7.5077508594571258E-3</v>
      </c>
      <c r="J45" s="11">
        <f t="shared" si="6"/>
        <v>1.052863010068537E-2</v>
      </c>
      <c r="K45" s="11">
        <f t="shared" si="7"/>
        <v>1.8036380960142498E-2</v>
      </c>
      <c r="L45" s="13"/>
      <c r="M45" s="13"/>
      <c r="N45" s="13">
        <v>391711</v>
      </c>
      <c r="O45" s="13">
        <v>549323</v>
      </c>
      <c r="P45" s="13">
        <f t="shared" si="11"/>
        <v>941034</v>
      </c>
      <c r="Q45" s="14" t="str">
        <f t="shared" si="12"/>
        <v>0</v>
      </c>
      <c r="R45" s="14" t="str">
        <f t="shared" si="12"/>
        <v>0</v>
      </c>
      <c r="S45" s="14">
        <f t="shared" si="12"/>
        <v>605.46727150537629</v>
      </c>
      <c r="T45" s="14">
        <f t="shared" si="12"/>
        <v>849.08797043010748</v>
      </c>
      <c r="U45" s="14">
        <f t="shared" si="13"/>
        <v>1454.5552419354838</v>
      </c>
    </row>
    <row r="46" spans="1:21" x14ac:dyDescent="0.25">
      <c r="A46" s="32" t="s">
        <v>0</v>
      </c>
      <c r="B46" s="11">
        <f>SUM(B8:B45)</f>
        <v>0.1295229862015746</v>
      </c>
      <c r="C46" s="11">
        <f t="shared" ref="C46:D46" si="14">SUM(C8:C45)</f>
        <v>1.1870078196098938E-2</v>
      </c>
      <c r="D46" s="11">
        <f t="shared" si="14"/>
        <v>0.55780309407248563</v>
      </c>
      <c r="E46" s="11">
        <f>SUM(E8:E45)</f>
        <v>0.3008038415298408</v>
      </c>
      <c r="F46" s="11">
        <f>SUM(F8:F45)</f>
        <v>1</v>
      </c>
      <c r="G46" s="11">
        <f>SUM(G8:G45)</f>
        <v>0.1295229862015746</v>
      </c>
      <c r="H46" s="11">
        <f t="shared" ref="H46:I46" si="15">SUM(H8:H45)</f>
        <v>1.1870078196098938E-2</v>
      </c>
      <c r="I46" s="11">
        <f t="shared" si="15"/>
        <v>0.55780309407248574</v>
      </c>
      <c r="J46" s="11">
        <f>SUM(J8:J45)</f>
        <v>0.30080384152984085</v>
      </c>
      <c r="K46" s="11">
        <f>SUM(K8:K45)</f>
        <v>1</v>
      </c>
      <c r="L46" s="13">
        <f>SUM(L8:L45)</f>
        <v>6757760</v>
      </c>
      <c r="M46" s="13">
        <f t="shared" ref="M46:O46" si="16">SUM(M8:M45)</f>
        <v>619312</v>
      </c>
      <c r="N46" s="13">
        <f t="shared" si="16"/>
        <v>29102938</v>
      </c>
      <c r="O46" s="13">
        <f t="shared" si="16"/>
        <v>15694204</v>
      </c>
      <c r="P46" s="13">
        <f>SUM(L46:O46)</f>
        <v>52174214</v>
      </c>
      <c r="Q46" s="14">
        <f t="shared" si="12"/>
        <v>10445.462365591398</v>
      </c>
      <c r="R46" s="14">
        <f t="shared" si="12"/>
        <v>957.26989247311815</v>
      </c>
      <c r="S46" s="14">
        <f t="shared" si="12"/>
        <v>44984.379973118273</v>
      </c>
      <c r="T46" s="14">
        <f t="shared" si="12"/>
        <v>24258.514247311825</v>
      </c>
      <c r="U46" s="14">
        <f t="shared" si="13"/>
        <v>80645.626478494611</v>
      </c>
    </row>
    <row r="47" spans="1:21" x14ac:dyDescent="0.25">
      <c r="Q47" s="14" t="str">
        <f t="shared" si="12"/>
        <v>0</v>
      </c>
      <c r="R47" s="14" t="str">
        <f t="shared" si="12"/>
        <v>0</v>
      </c>
      <c r="S47" s="14" t="str">
        <f t="shared" si="12"/>
        <v>0</v>
      </c>
      <c r="T47" s="14" t="str">
        <f t="shared" si="12"/>
        <v>0</v>
      </c>
      <c r="U47" s="14">
        <f t="shared" si="13"/>
        <v>0</v>
      </c>
    </row>
    <row r="48" spans="1:21" x14ac:dyDescent="0.25">
      <c r="A48" s="26" t="s">
        <v>46</v>
      </c>
      <c r="B48" s="6" t="s">
        <v>78</v>
      </c>
      <c r="Q48" s="6"/>
      <c r="R48" s="6"/>
      <c r="S48" s="6"/>
      <c r="T48" s="6"/>
      <c r="U48" s="6"/>
    </row>
    <row r="49" spans="1:257" x14ac:dyDescent="0.25">
      <c r="A49" s="26"/>
      <c r="B49" s="6" t="s">
        <v>79</v>
      </c>
      <c r="Q49" s="6"/>
      <c r="R49" s="6"/>
      <c r="S49" s="6"/>
      <c r="T49" s="6"/>
      <c r="U49" s="6"/>
    </row>
    <row r="50" spans="1:257" x14ac:dyDescent="0.25">
      <c r="B50" s="6" t="s">
        <v>94</v>
      </c>
      <c r="Q50" s="6"/>
      <c r="R50" s="6"/>
      <c r="S50" s="6"/>
      <c r="T50" s="6"/>
      <c r="U50" s="6"/>
    </row>
    <row r="51" spans="1:257" x14ac:dyDescent="0.25">
      <c r="B51" s="6" t="s">
        <v>95</v>
      </c>
      <c r="Q51" s="14" t="str">
        <f t="shared" ref="Q51:T51" si="17">IF(L51/744*1.15=0,"0",L51/744*1.15)</f>
        <v>0</v>
      </c>
      <c r="R51" s="14" t="str">
        <f t="shared" si="17"/>
        <v>0</v>
      </c>
      <c r="S51" s="14" t="str">
        <f t="shared" si="17"/>
        <v>0</v>
      </c>
      <c r="T51" s="14" t="str">
        <f t="shared" si="17"/>
        <v>0</v>
      </c>
      <c r="U51" s="14">
        <f t="shared" ref="U51" si="18">Q51+R51+S51+T51</f>
        <v>0</v>
      </c>
    </row>
    <row r="55" spans="1:257" x14ac:dyDescent="0.25">
      <c r="Q55" s="6"/>
      <c r="R55" s="6"/>
      <c r="S55" s="6"/>
      <c r="T55" s="6"/>
      <c r="U55" s="6"/>
    </row>
    <row r="56" spans="1:257" ht="15.75" x14ac:dyDescent="0.25">
      <c r="A56" s="34" t="s">
        <v>76</v>
      </c>
      <c r="B56" s="35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/>
      <c r="CR56" s="36"/>
      <c r="CS56" s="36"/>
      <c r="CT56" s="36"/>
      <c r="CU56" s="36"/>
      <c r="CV56" s="36"/>
      <c r="CW56" s="36"/>
      <c r="CX56" s="36"/>
      <c r="CY56" s="36"/>
      <c r="CZ56" s="36"/>
      <c r="DA56" s="36"/>
      <c r="DB56" s="36"/>
      <c r="DC56" s="36"/>
      <c r="DD56" s="36"/>
      <c r="DE56" s="36"/>
      <c r="DF56" s="36"/>
      <c r="DG56" s="36"/>
      <c r="DH56" s="36"/>
      <c r="DI56" s="36"/>
      <c r="DJ56" s="36"/>
      <c r="DK56" s="36"/>
      <c r="DL56" s="36"/>
      <c r="DM56" s="36"/>
      <c r="DN56" s="36"/>
      <c r="DO56" s="36"/>
      <c r="DP56" s="36"/>
      <c r="DQ56" s="36"/>
      <c r="DR56" s="36"/>
      <c r="DS56" s="36"/>
      <c r="DT56" s="36"/>
      <c r="DU56" s="36"/>
      <c r="DV56" s="36"/>
      <c r="DW56" s="36"/>
      <c r="DX56" s="36"/>
      <c r="DY56" s="36"/>
      <c r="DZ56" s="36"/>
      <c r="EA56" s="36"/>
      <c r="EB56" s="36"/>
      <c r="EC56" s="36"/>
      <c r="ED56" s="36"/>
      <c r="EE56" s="36"/>
      <c r="EF56" s="36"/>
      <c r="EG56" s="36"/>
      <c r="EH56" s="36"/>
      <c r="EI56" s="36"/>
      <c r="EJ56" s="36"/>
      <c r="EK56" s="36"/>
      <c r="EL56" s="36"/>
      <c r="EM56" s="36"/>
      <c r="EN56" s="36"/>
      <c r="EO56" s="36"/>
      <c r="EP56" s="36"/>
      <c r="EQ56" s="36"/>
      <c r="ER56" s="36"/>
      <c r="ES56" s="36"/>
      <c r="ET56" s="36"/>
      <c r="EU56" s="36"/>
      <c r="EV56" s="36"/>
      <c r="EW56" s="36"/>
      <c r="EX56" s="36"/>
      <c r="EY56" s="36"/>
      <c r="EZ56" s="36"/>
      <c r="FA56" s="36"/>
      <c r="FB56" s="36"/>
      <c r="FC56" s="36"/>
      <c r="FD56" s="36"/>
      <c r="FE56" s="36"/>
      <c r="FF56" s="36"/>
      <c r="FG56" s="36"/>
      <c r="FH56" s="36"/>
      <c r="FI56" s="36"/>
      <c r="FJ56" s="36"/>
      <c r="FK56" s="36"/>
      <c r="FL56" s="36"/>
      <c r="FM56" s="36"/>
      <c r="FN56" s="36"/>
      <c r="FO56" s="36"/>
      <c r="FP56" s="36"/>
      <c r="FQ56" s="36"/>
      <c r="FR56" s="36"/>
      <c r="FS56" s="36"/>
      <c r="FT56" s="36"/>
      <c r="FU56" s="36"/>
      <c r="FV56" s="36"/>
      <c r="FW56" s="36"/>
      <c r="FX56" s="36"/>
      <c r="FY56" s="36"/>
      <c r="FZ56" s="36"/>
      <c r="GA56" s="36"/>
      <c r="GB56" s="36"/>
      <c r="GC56" s="36"/>
      <c r="GD56" s="36"/>
      <c r="GE56" s="36"/>
      <c r="GF56" s="36"/>
      <c r="GG56" s="36"/>
      <c r="GH56" s="36"/>
      <c r="GI56" s="36"/>
      <c r="GJ56" s="36"/>
      <c r="GK56" s="36"/>
      <c r="GL56" s="36"/>
      <c r="GM56" s="36"/>
      <c r="GN56" s="36"/>
      <c r="GO56" s="36"/>
      <c r="GP56" s="36"/>
      <c r="GQ56" s="36"/>
      <c r="GR56" s="36"/>
      <c r="GS56" s="36"/>
      <c r="GT56" s="36"/>
      <c r="GU56" s="36"/>
      <c r="GV56" s="36"/>
      <c r="GW56" s="36"/>
      <c r="GX56" s="36"/>
      <c r="GY56" s="36"/>
      <c r="GZ56" s="36"/>
      <c r="HA56" s="36"/>
      <c r="HB56" s="36"/>
      <c r="HC56" s="36"/>
      <c r="HD56" s="36"/>
      <c r="HE56" s="36"/>
      <c r="HF56" s="36"/>
      <c r="HG56" s="36"/>
      <c r="HH56" s="36"/>
      <c r="HI56" s="36"/>
      <c r="HJ56" s="36"/>
      <c r="HK56" s="36"/>
      <c r="HL56" s="36"/>
      <c r="HM56" s="36"/>
      <c r="HN56" s="36"/>
      <c r="HO56" s="36"/>
      <c r="HP56" s="36"/>
      <c r="HQ56" s="36"/>
      <c r="HR56" s="36"/>
      <c r="HS56" s="36"/>
      <c r="HT56" s="36"/>
      <c r="HU56" s="36"/>
      <c r="HV56" s="36"/>
      <c r="HW56" s="36"/>
      <c r="HX56" s="36"/>
      <c r="HY56" s="36"/>
      <c r="HZ56" s="36"/>
      <c r="IA56" s="36"/>
      <c r="IB56" s="36"/>
      <c r="IC56" s="36"/>
      <c r="ID56" s="36"/>
      <c r="IE56" s="36"/>
      <c r="IF56" s="36"/>
      <c r="IG56" s="36"/>
      <c r="IH56" s="36"/>
      <c r="II56" s="36"/>
      <c r="IJ56" s="36"/>
      <c r="IK56" s="36"/>
      <c r="IL56" s="36"/>
      <c r="IM56" s="36"/>
      <c r="IN56" s="36"/>
      <c r="IO56" s="36"/>
      <c r="IP56" s="36"/>
      <c r="IQ56" s="36"/>
      <c r="IR56" s="36"/>
      <c r="IS56" s="36"/>
      <c r="IT56" s="36"/>
      <c r="IU56" s="36"/>
      <c r="IV56" s="36"/>
      <c r="IW56" s="36"/>
    </row>
    <row r="57" spans="1:257" ht="15.75" x14ac:dyDescent="0.25">
      <c r="A57" s="34"/>
      <c r="B57" s="35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6"/>
      <c r="CM57" s="36"/>
      <c r="CN57" s="36"/>
      <c r="CO57" s="36"/>
      <c r="CP57" s="36"/>
      <c r="CQ57" s="36"/>
      <c r="CR57" s="36"/>
      <c r="CS57" s="36"/>
      <c r="CT57" s="36"/>
      <c r="CU57" s="36"/>
      <c r="CV57" s="36"/>
      <c r="CW57" s="36"/>
      <c r="CX57" s="36"/>
      <c r="CY57" s="36"/>
      <c r="CZ57" s="36"/>
      <c r="DA57" s="36"/>
      <c r="DB57" s="36"/>
      <c r="DC57" s="36"/>
      <c r="DD57" s="36"/>
      <c r="DE57" s="36"/>
      <c r="DF57" s="36"/>
      <c r="DG57" s="36"/>
      <c r="DH57" s="36"/>
      <c r="DI57" s="36"/>
      <c r="DJ57" s="36"/>
      <c r="DK57" s="36"/>
      <c r="DL57" s="36"/>
      <c r="DM57" s="36"/>
      <c r="DN57" s="36"/>
      <c r="DO57" s="36"/>
      <c r="DP57" s="36"/>
      <c r="DQ57" s="36"/>
      <c r="DR57" s="36"/>
      <c r="DS57" s="36"/>
      <c r="DT57" s="36"/>
      <c r="DU57" s="36"/>
      <c r="DV57" s="36"/>
      <c r="DW57" s="36"/>
      <c r="DX57" s="36"/>
      <c r="DY57" s="36"/>
      <c r="DZ57" s="36"/>
      <c r="EA57" s="36"/>
      <c r="EB57" s="36"/>
      <c r="EC57" s="36"/>
      <c r="ED57" s="36"/>
      <c r="EE57" s="36"/>
      <c r="EF57" s="36"/>
      <c r="EG57" s="36"/>
      <c r="EH57" s="36"/>
      <c r="EI57" s="36"/>
      <c r="EJ57" s="36"/>
      <c r="EK57" s="36"/>
      <c r="EL57" s="36"/>
      <c r="EM57" s="36"/>
      <c r="EN57" s="36"/>
      <c r="EO57" s="36"/>
      <c r="EP57" s="36"/>
      <c r="EQ57" s="36"/>
      <c r="ER57" s="36"/>
      <c r="ES57" s="36"/>
      <c r="ET57" s="36"/>
      <c r="EU57" s="36"/>
      <c r="EV57" s="36"/>
      <c r="EW57" s="36"/>
      <c r="EX57" s="36"/>
      <c r="EY57" s="36"/>
      <c r="EZ57" s="36"/>
      <c r="FA57" s="36"/>
      <c r="FB57" s="36"/>
      <c r="FC57" s="36"/>
      <c r="FD57" s="36"/>
      <c r="FE57" s="36"/>
      <c r="FF57" s="36"/>
      <c r="FG57" s="36"/>
      <c r="FH57" s="36"/>
      <c r="FI57" s="36"/>
      <c r="FJ57" s="36"/>
      <c r="FK57" s="36"/>
      <c r="FL57" s="36"/>
      <c r="FM57" s="36"/>
      <c r="FN57" s="36"/>
      <c r="FO57" s="36"/>
      <c r="FP57" s="36"/>
      <c r="FQ57" s="36"/>
      <c r="FR57" s="36"/>
      <c r="FS57" s="36"/>
      <c r="FT57" s="36"/>
      <c r="FU57" s="36"/>
      <c r="FV57" s="36"/>
      <c r="FW57" s="36"/>
      <c r="FX57" s="36"/>
      <c r="FY57" s="36"/>
      <c r="FZ57" s="36"/>
      <c r="GA57" s="36"/>
      <c r="GB57" s="36"/>
      <c r="GC57" s="36"/>
      <c r="GD57" s="36"/>
      <c r="GE57" s="36"/>
      <c r="GF57" s="36"/>
      <c r="GG57" s="36"/>
      <c r="GH57" s="36"/>
      <c r="GI57" s="36"/>
      <c r="GJ57" s="36"/>
      <c r="GK57" s="36"/>
      <c r="GL57" s="36"/>
      <c r="GM57" s="36"/>
      <c r="GN57" s="36"/>
      <c r="GO57" s="36"/>
      <c r="GP57" s="36"/>
      <c r="GQ57" s="36"/>
      <c r="GR57" s="36"/>
      <c r="GS57" s="36"/>
      <c r="GT57" s="36"/>
      <c r="GU57" s="36"/>
      <c r="GV57" s="36"/>
      <c r="GW57" s="36"/>
      <c r="GX57" s="36"/>
      <c r="GY57" s="36"/>
      <c r="GZ57" s="36"/>
      <c r="HA57" s="36"/>
      <c r="HB57" s="36"/>
      <c r="HC57" s="36"/>
      <c r="HD57" s="36"/>
      <c r="HE57" s="36"/>
      <c r="HF57" s="36"/>
      <c r="HG57" s="36"/>
      <c r="HH57" s="36"/>
      <c r="HI57" s="36"/>
      <c r="HJ57" s="36"/>
      <c r="HK57" s="36"/>
      <c r="HL57" s="36"/>
      <c r="HM57" s="36"/>
      <c r="HN57" s="36"/>
      <c r="HO57" s="36"/>
      <c r="HP57" s="36"/>
      <c r="HQ57" s="36"/>
      <c r="HR57" s="36"/>
      <c r="HS57" s="36"/>
      <c r="HT57" s="36"/>
      <c r="HU57" s="36"/>
      <c r="HV57" s="36"/>
      <c r="HW57" s="36"/>
      <c r="HX57" s="36"/>
      <c r="HY57" s="36"/>
      <c r="HZ57" s="36"/>
      <c r="IA57" s="36"/>
      <c r="IB57" s="36"/>
      <c r="IC57" s="36"/>
      <c r="ID57" s="36"/>
      <c r="IE57" s="36"/>
      <c r="IF57" s="36"/>
      <c r="IG57" s="36"/>
      <c r="IH57" s="36"/>
      <c r="II57" s="36"/>
      <c r="IJ57" s="36"/>
      <c r="IK57" s="36"/>
      <c r="IL57" s="36"/>
      <c r="IM57" s="36"/>
      <c r="IN57" s="36"/>
      <c r="IO57" s="36"/>
      <c r="IP57" s="36"/>
      <c r="IQ57" s="36"/>
      <c r="IR57" s="36"/>
      <c r="IS57" s="36"/>
      <c r="IT57" s="36"/>
      <c r="IU57" s="36"/>
      <c r="IV57" s="36"/>
      <c r="IW57" s="36"/>
    </row>
    <row r="58" spans="1:257" ht="15.75" x14ac:dyDescent="0.25">
      <c r="A58" s="34" t="s">
        <v>77</v>
      </c>
      <c r="B58" s="35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36"/>
      <c r="DC58" s="36"/>
      <c r="DD58" s="36"/>
      <c r="DE58" s="36"/>
      <c r="DF58" s="36"/>
      <c r="DG58" s="36"/>
      <c r="DH58" s="36"/>
      <c r="DI58" s="36"/>
      <c r="DJ58" s="36"/>
      <c r="DK58" s="36"/>
      <c r="DL58" s="36"/>
      <c r="DM58" s="36"/>
      <c r="DN58" s="36"/>
      <c r="DO58" s="36"/>
      <c r="DP58" s="36"/>
      <c r="DQ58" s="36"/>
      <c r="DR58" s="36"/>
      <c r="DS58" s="36"/>
      <c r="DT58" s="36"/>
      <c r="DU58" s="36"/>
      <c r="DV58" s="36"/>
      <c r="DW58" s="36"/>
      <c r="DX58" s="36"/>
      <c r="DY58" s="36"/>
      <c r="DZ58" s="36"/>
      <c r="EA58" s="36"/>
      <c r="EB58" s="36"/>
      <c r="EC58" s="36"/>
      <c r="ED58" s="36"/>
      <c r="EE58" s="36"/>
      <c r="EF58" s="36"/>
      <c r="EG58" s="36"/>
      <c r="EH58" s="36"/>
      <c r="EI58" s="36"/>
      <c r="EJ58" s="36"/>
      <c r="EK58" s="36"/>
      <c r="EL58" s="36"/>
      <c r="EM58" s="36"/>
      <c r="EN58" s="36"/>
      <c r="EO58" s="36"/>
      <c r="EP58" s="36"/>
      <c r="EQ58" s="36"/>
      <c r="ER58" s="36"/>
      <c r="ES58" s="36"/>
      <c r="ET58" s="36"/>
      <c r="EU58" s="36"/>
      <c r="EV58" s="36"/>
      <c r="EW58" s="36"/>
      <c r="EX58" s="36"/>
      <c r="EY58" s="36"/>
      <c r="EZ58" s="36"/>
      <c r="FA58" s="36"/>
      <c r="FB58" s="36"/>
      <c r="FC58" s="36"/>
      <c r="FD58" s="36"/>
      <c r="FE58" s="36"/>
      <c r="FF58" s="36"/>
      <c r="FG58" s="36"/>
      <c r="FH58" s="36"/>
      <c r="FI58" s="36"/>
      <c r="FJ58" s="36"/>
      <c r="FK58" s="36"/>
      <c r="FL58" s="36"/>
      <c r="FM58" s="36"/>
      <c r="FN58" s="36"/>
      <c r="FO58" s="36"/>
      <c r="FP58" s="36"/>
      <c r="FQ58" s="36"/>
      <c r="FR58" s="36"/>
      <c r="FS58" s="36"/>
      <c r="FT58" s="36"/>
      <c r="FU58" s="36"/>
      <c r="FV58" s="36"/>
      <c r="FW58" s="36"/>
      <c r="FX58" s="36"/>
      <c r="FY58" s="36"/>
      <c r="FZ58" s="36"/>
      <c r="GA58" s="36"/>
      <c r="GB58" s="36"/>
      <c r="GC58" s="36"/>
      <c r="GD58" s="36"/>
      <c r="GE58" s="36"/>
      <c r="GF58" s="36"/>
      <c r="GG58" s="36"/>
      <c r="GH58" s="36"/>
      <c r="GI58" s="36"/>
      <c r="GJ58" s="36"/>
      <c r="GK58" s="36"/>
      <c r="GL58" s="36"/>
      <c r="GM58" s="36"/>
      <c r="GN58" s="36"/>
      <c r="GO58" s="36"/>
      <c r="GP58" s="36"/>
      <c r="GQ58" s="36"/>
      <c r="GR58" s="36"/>
      <c r="GS58" s="36"/>
      <c r="GT58" s="36"/>
      <c r="GU58" s="36"/>
      <c r="GV58" s="36"/>
      <c r="GW58" s="36"/>
      <c r="GX58" s="36"/>
      <c r="GY58" s="36"/>
      <c r="GZ58" s="36"/>
      <c r="HA58" s="36"/>
      <c r="HB58" s="36"/>
      <c r="HC58" s="36"/>
      <c r="HD58" s="36"/>
      <c r="HE58" s="36"/>
      <c r="HF58" s="36"/>
      <c r="HG58" s="36"/>
      <c r="HH58" s="36"/>
      <c r="HI58" s="36"/>
      <c r="HJ58" s="36"/>
      <c r="HK58" s="36"/>
      <c r="HL58" s="36"/>
      <c r="HM58" s="36"/>
      <c r="HN58" s="36"/>
      <c r="HO58" s="36"/>
      <c r="HP58" s="36"/>
      <c r="HQ58" s="36"/>
      <c r="HR58" s="36"/>
      <c r="HS58" s="36"/>
      <c r="HT58" s="36"/>
      <c r="HU58" s="36"/>
      <c r="HV58" s="36"/>
      <c r="HW58" s="36"/>
      <c r="HX58" s="36"/>
      <c r="HY58" s="36"/>
      <c r="HZ58" s="36"/>
      <c r="IA58" s="36"/>
      <c r="IB58" s="36"/>
      <c r="IC58" s="36"/>
      <c r="ID58" s="36"/>
      <c r="IE58" s="36"/>
      <c r="IF58" s="36"/>
      <c r="IG58" s="36"/>
      <c r="IH58" s="36"/>
      <c r="II58" s="36"/>
      <c r="IJ58" s="36"/>
      <c r="IK58" s="36"/>
      <c r="IL58" s="36"/>
      <c r="IM58" s="36"/>
      <c r="IN58" s="36"/>
      <c r="IO58" s="36"/>
      <c r="IP58" s="36"/>
      <c r="IQ58" s="36"/>
      <c r="IR58" s="36"/>
      <c r="IS58" s="36"/>
      <c r="IT58" s="36"/>
      <c r="IU58" s="36"/>
      <c r="IV58" s="36"/>
      <c r="IW58" s="36"/>
    </row>
  </sheetData>
  <mergeCells count="7">
    <mergeCell ref="Q5:U6"/>
    <mergeCell ref="A2:K2"/>
    <mergeCell ref="A3:K3"/>
    <mergeCell ref="A5:A6"/>
    <mergeCell ref="B5:F6"/>
    <mergeCell ref="G5:K6"/>
    <mergeCell ref="L5:P6"/>
  </mergeCells>
  <pageMargins left="0.7" right="0.7" top="0.75" bottom="0.75" header="0.3" footer="0.3"/>
  <pageSetup paperSize="9" scale="7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W59"/>
  <sheetViews>
    <sheetView view="pageBreakPreview" topLeftCell="A26" zoomScaleNormal="100" zoomScaleSheetLayoutView="100" workbookViewId="0">
      <selection activeCell="K8" sqref="K1:V1048576"/>
    </sheetView>
  </sheetViews>
  <sheetFormatPr defaultRowHeight="15" x14ac:dyDescent="0.25"/>
  <cols>
    <col min="1" max="1" width="38" style="2" customWidth="1"/>
    <col min="2" max="5" width="9.140625" style="2" customWidth="1"/>
    <col min="6" max="6" width="10.5703125" style="2" customWidth="1"/>
    <col min="7" max="10" width="9.140625" style="2" customWidth="1"/>
    <col min="11" max="11" width="10.42578125" style="2" customWidth="1"/>
    <col min="12" max="13" width="9.140625" style="2" customWidth="1"/>
    <col min="14" max="14" width="9.85546875" style="2" customWidth="1"/>
    <col min="15" max="15" width="10.140625" style="2" customWidth="1"/>
    <col min="16" max="16" width="10" style="2" customWidth="1"/>
    <col min="17" max="21" width="9.140625" style="2" customWidth="1"/>
    <col min="22" max="22" width="14" style="2" customWidth="1"/>
    <col min="23" max="16384" width="9.140625" style="2"/>
  </cols>
  <sheetData>
    <row r="1" spans="1:22" ht="15.75" x14ac:dyDescent="0.25">
      <c r="K1" s="59" t="s">
        <v>100</v>
      </c>
      <c r="L1" s="59"/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22" ht="15.75" x14ac:dyDescent="0.25">
      <c r="A2" s="63" t="s">
        <v>33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22" ht="15.75" x14ac:dyDescent="0.25">
      <c r="A3" s="63" t="s">
        <v>38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22" x14ac:dyDescent="0.25">
      <c r="A4" s="3" t="s">
        <v>34</v>
      </c>
      <c r="B4" s="20"/>
      <c r="C4" s="20"/>
      <c r="D4" s="20"/>
      <c r="E4" s="20"/>
      <c r="F4" s="21"/>
      <c r="K4" s="22"/>
    </row>
    <row r="5" spans="1:22" ht="15" customHeight="1" x14ac:dyDescent="0.25">
      <c r="A5" s="64" t="s">
        <v>35</v>
      </c>
      <c r="B5" s="70" t="s">
        <v>29</v>
      </c>
      <c r="C5" s="70"/>
      <c r="D5" s="70"/>
      <c r="E5" s="70"/>
      <c r="F5" s="70"/>
      <c r="G5" s="70" t="s">
        <v>36</v>
      </c>
      <c r="H5" s="70"/>
      <c r="I5" s="70"/>
      <c r="J5" s="70"/>
      <c r="K5" s="70"/>
      <c r="L5" s="70" t="s">
        <v>42</v>
      </c>
      <c r="M5" s="70"/>
      <c r="N5" s="70"/>
      <c r="O5" s="70"/>
      <c r="P5" s="70"/>
      <c r="Q5" s="70" t="s">
        <v>43</v>
      </c>
      <c r="R5" s="70"/>
      <c r="S5" s="70"/>
      <c r="T5" s="70"/>
      <c r="U5" s="70"/>
    </row>
    <row r="6" spans="1:22" x14ac:dyDescent="0.25">
      <c r="A6" s="65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</row>
    <row r="7" spans="1:22" x14ac:dyDescent="0.25">
      <c r="A7" s="8" t="s">
        <v>37</v>
      </c>
      <c r="B7" s="9" t="s">
        <v>1</v>
      </c>
      <c r="C7" s="9" t="s">
        <v>39</v>
      </c>
      <c r="D7" s="9" t="s">
        <v>40</v>
      </c>
      <c r="E7" s="9" t="s">
        <v>2</v>
      </c>
      <c r="F7" s="9" t="s">
        <v>41</v>
      </c>
      <c r="G7" s="9" t="s">
        <v>1</v>
      </c>
      <c r="H7" s="9" t="s">
        <v>39</v>
      </c>
      <c r="I7" s="9" t="s">
        <v>40</v>
      </c>
      <c r="J7" s="9" t="s">
        <v>2</v>
      </c>
      <c r="K7" s="9" t="s">
        <v>41</v>
      </c>
      <c r="L7" s="9" t="s">
        <v>1</v>
      </c>
      <c r="M7" s="9" t="s">
        <v>39</v>
      </c>
      <c r="N7" s="9" t="s">
        <v>40</v>
      </c>
      <c r="O7" s="9" t="s">
        <v>2</v>
      </c>
      <c r="P7" s="9" t="s">
        <v>41</v>
      </c>
      <c r="Q7" s="9" t="s">
        <v>1</v>
      </c>
      <c r="R7" s="9" t="s">
        <v>39</v>
      </c>
      <c r="S7" s="9" t="s">
        <v>40</v>
      </c>
      <c r="T7" s="9" t="s">
        <v>2</v>
      </c>
      <c r="U7" s="9" t="s">
        <v>41</v>
      </c>
    </row>
    <row r="8" spans="1:22" x14ac:dyDescent="0.25">
      <c r="A8" s="10" t="s">
        <v>44</v>
      </c>
      <c r="B8" s="23" t="str">
        <f>IF(L8/$P$49=0,"-",L8/$P$49)</f>
        <v>-</v>
      </c>
      <c r="C8" s="23">
        <f t="shared" ref="C8:E8" si="0">M8/$P$49</f>
        <v>0</v>
      </c>
      <c r="D8" s="23">
        <f t="shared" si="0"/>
        <v>1.0571600497144176E-3</v>
      </c>
      <c r="E8" s="23">
        <f t="shared" si="0"/>
        <v>4.2857730572939777E-4</v>
      </c>
      <c r="F8" s="23">
        <f>P8/$P$49</f>
        <v>1.4857373554438154E-3</v>
      </c>
      <c r="G8" s="23" t="str">
        <f>IF(Q8/$U$49=0,"-",Q8/$U$49)</f>
        <v>-</v>
      </c>
      <c r="H8" s="23" t="str">
        <f t="shared" ref="H8:K23" si="1">IF(R8/$U$49=0,"-",R8/$U$49)</f>
        <v>-</v>
      </c>
      <c r="I8" s="23">
        <f t="shared" si="1"/>
        <v>2.8442366014785696E-3</v>
      </c>
      <c r="J8" s="23">
        <f t="shared" si="1"/>
        <v>1.3403873639151881E-3</v>
      </c>
      <c r="K8" s="23">
        <f t="shared" si="1"/>
        <v>4.1846239653937573E-3</v>
      </c>
      <c r="L8" s="24"/>
      <c r="M8" s="24"/>
      <c r="N8" s="24">
        <v>52291</v>
      </c>
      <c r="O8" s="24">
        <v>21199</v>
      </c>
      <c r="P8" s="13">
        <f>SUM(L8:O8)</f>
        <v>73490</v>
      </c>
      <c r="Q8" s="24"/>
      <c r="R8" s="24"/>
      <c r="S8" s="24">
        <v>87</v>
      </c>
      <c r="T8" s="13">
        <v>41</v>
      </c>
      <c r="U8" s="24">
        <f>SUM(Q8:T8)</f>
        <v>128</v>
      </c>
    </row>
    <row r="9" spans="1:22" x14ac:dyDescent="0.25">
      <c r="A9" s="10" t="s">
        <v>3</v>
      </c>
      <c r="B9" s="23">
        <f t="shared" ref="B9:E48" si="2">IF(L9/$P$49=0,"-",L9/$P$49)</f>
        <v>5.6535652265674403E-3</v>
      </c>
      <c r="C9" s="23" t="str">
        <f t="shared" si="2"/>
        <v>-</v>
      </c>
      <c r="D9" s="23">
        <f t="shared" si="2"/>
        <v>1.1001127995494419E-2</v>
      </c>
      <c r="E9" s="23">
        <f t="shared" si="2"/>
        <v>4.9182778729480155E-3</v>
      </c>
      <c r="F9" s="23">
        <f t="shared" ref="F9:F48" si="3">P9/$P$49</f>
        <v>2.1572971095009875E-2</v>
      </c>
      <c r="G9" s="23" t="str">
        <f t="shared" ref="G9:K48" si="4">IF(Q9/$U$49=0,"-",Q9/$U$49)</f>
        <v>-</v>
      </c>
      <c r="H9" s="23" t="str">
        <f t="shared" si="1"/>
        <v>-</v>
      </c>
      <c r="I9" s="23">
        <f t="shared" si="1"/>
        <v>1.4057721133744654E-3</v>
      </c>
      <c r="J9" s="23">
        <f t="shared" si="1"/>
        <v>1.7326958606708527E-2</v>
      </c>
      <c r="K9" s="23">
        <f t="shared" si="1"/>
        <v>1.8732730720082993E-2</v>
      </c>
      <c r="L9" s="24">
        <f>20274+259372</f>
        <v>279646</v>
      </c>
      <c r="M9" s="24"/>
      <c r="N9" s="24">
        <v>544156</v>
      </c>
      <c r="O9" s="24">
        <v>243276</v>
      </c>
      <c r="P9" s="13">
        <f t="shared" ref="P9:P48" si="5">SUM(L9:O9)</f>
        <v>1067078</v>
      </c>
      <c r="Q9" s="24"/>
      <c r="R9" s="24"/>
      <c r="S9" s="24">
        <v>43</v>
      </c>
      <c r="T9" s="24">
        <v>530</v>
      </c>
      <c r="U9" s="24">
        <f t="shared" ref="U9:U49" si="6">SUM(Q9:T9)</f>
        <v>573</v>
      </c>
    </row>
    <row r="10" spans="1:22" x14ac:dyDescent="0.25">
      <c r="A10" s="10" t="s">
        <v>4</v>
      </c>
      <c r="B10" s="23" t="str">
        <f t="shared" si="2"/>
        <v>-</v>
      </c>
      <c r="C10" s="23">
        <f t="shared" si="2"/>
        <v>3.3197708485878086E-3</v>
      </c>
      <c r="D10" s="23">
        <f t="shared" si="2"/>
        <v>2.2308460617272034E-2</v>
      </c>
      <c r="E10" s="23">
        <f t="shared" si="2"/>
        <v>1.3774052882354105E-2</v>
      </c>
      <c r="F10" s="23">
        <f t="shared" si="3"/>
        <v>3.9402284348213946E-2</v>
      </c>
      <c r="G10" s="23" t="str">
        <f t="shared" si="4"/>
        <v>-</v>
      </c>
      <c r="H10" s="23" t="str">
        <f t="shared" si="1"/>
        <v>-</v>
      </c>
      <c r="I10" s="23">
        <f t="shared" si="1"/>
        <v>1.0232713290376923E-2</v>
      </c>
      <c r="J10" s="23">
        <f t="shared" si="1"/>
        <v>5.4203957301741018E-2</v>
      </c>
      <c r="K10" s="23">
        <f t="shared" si="1"/>
        <v>6.4436670592117939E-2</v>
      </c>
      <c r="L10" s="24"/>
      <c r="M10" s="24">
        <v>164208</v>
      </c>
      <c r="N10" s="24">
        <f>290743+237739+116935+51074+97671+163929+15620+129747</f>
        <v>1103458</v>
      </c>
      <c r="O10" s="24">
        <f>101932+21484+176999+20773+360127</f>
        <v>681315</v>
      </c>
      <c r="P10" s="13">
        <f t="shared" si="5"/>
        <v>1948981</v>
      </c>
      <c r="Q10" s="24"/>
      <c r="R10" s="24"/>
      <c r="S10" s="24">
        <v>313</v>
      </c>
      <c r="T10" s="24">
        <v>1658</v>
      </c>
      <c r="U10" s="24">
        <f t="shared" si="6"/>
        <v>1971</v>
      </c>
    </row>
    <row r="11" spans="1:22" x14ac:dyDescent="0.25">
      <c r="A11" s="10" t="s">
        <v>51</v>
      </c>
      <c r="B11" s="23" t="str">
        <f t="shared" si="2"/>
        <v>-</v>
      </c>
      <c r="C11" s="23" t="str">
        <f t="shared" si="2"/>
        <v>-</v>
      </c>
      <c r="D11" s="23">
        <f t="shared" si="2"/>
        <v>1.3880009468010398E-2</v>
      </c>
      <c r="E11" s="23">
        <f t="shared" si="2"/>
        <v>7.4069536481252947E-3</v>
      </c>
      <c r="F11" s="23">
        <f t="shared" si="3"/>
        <v>2.1286963116135694E-2</v>
      </c>
      <c r="G11" s="23" t="str">
        <f t="shared" si="4"/>
        <v>-</v>
      </c>
      <c r="H11" s="23" t="str">
        <f t="shared" si="1"/>
        <v>-</v>
      </c>
      <c r="I11" s="23" t="str">
        <f t="shared" si="1"/>
        <v>-</v>
      </c>
      <c r="J11" s="23" t="str">
        <f t="shared" si="1"/>
        <v>-</v>
      </c>
      <c r="K11" s="23" t="str">
        <f t="shared" si="1"/>
        <v>-</v>
      </c>
      <c r="L11" s="24"/>
      <c r="M11" s="24"/>
      <c r="N11" s="24">
        <v>686556</v>
      </c>
      <c r="O11" s="24">
        <v>366375</v>
      </c>
      <c r="P11" s="13">
        <f t="shared" si="5"/>
        <v>1052931</v>
      </c>
      <c r="Q11" s="24"/>
      <c r="R11" s="24"/>
      <c r="S11" s="24"/>
      <c r="T11" s="24"/>
      <c r="U11" s="24">
        <f t="shared" si="6"/>
        <v>0</v>
      </c>
    </row>
    <row r="12" spans="1:22" x14ac:dyDescent="0.25">
      <c r="A12" s="10" t="s">
        <v>5</v>
      </c>
      <c r="B12" s="23" t="str">
        <f t="shared" si="2"/>
        <v>-</v>
      </c>
      <c r="C12" s="23" t="str">
        <f t="shared" si="2"/>
        <v>-</v>
      </c>
      <c r="D12" s="23">
        <f t="shared" si="2"/>
        <v>1.2632062870148977E-2</v>
      </c>
      <c r="E12" s="23">
        <f t="shared" si="2"/>
        <v>2.1622138508922508E-3</v>
      </c>
      <c r="F12" s="23">
        <f t="shared" si="3"/>
        <v>1.4794276721041227E-2</v>
      </c>
      <c r="G12" s="23" t="str">
        <f t="shared" si="4"/>
        <v>-</v>
      </c>
      <c r="H12" s="23" t="str">
        <f t="shared" si="1"/>
        <v>-</v>
      </c>
      <c r="I12" s="23">
        <f t="shared" si="1"/>
        <v>3.0992371243697518E-2</v>
      </c>
      <c r="J12" s="23">
        <f t="shared" si="1"/>
        <v>7.2903995647094376E-3</v>
      </c>
      <c r="K12" s="23">
        <f t="shared" si="1"/>
        <v>3.8282770808406953E-2</v>
      </c>
      <c r="L12" s="24"/>
      <c r="M12" s="24"/>
      <c r="N12" s="24">
        <v>624828</v>
      </c>
      <c r="O12" s="24">
        <v>106951</v>
      </c>
      <c r="P12" s="13">
        <f t="shared" si="5"/>
        <v>731779</v>
      </c>
      <c r="Q12" s="24"/>
      <c r="R12" s="24"/>
      <c r="S12" s="24">
        <v>948</v>
      </c>
      <c r="T12" s="24">
        <v>223</v>
      </c>
      <c r="U12" s="24">
        <f t="shared" si="6"/>
        <v>1171</v>
      </c>
    </row>
    <row r="13" spans="1:22" x14ac:dyDescent="0.25">
      <c r="A13" s="10" t="s">
        <v>6</v>
      </c>
      <c r="B13" s="23" t="str">
        <f t="shared" si="2"/>
        <v>-</v>
      </c>
      <c r="C13" s="23" t="str">
        <f t="shared" si="2"/>
        <v>-</v>
      </c>
      <c r="D13" s="23">
        <f t="shared" si="2"/>
        <v>2.2808868441764416E-3</v>
      </c>
      <c r="E13" s="23">
        <f t="shared" si="2"/>
        <v>7.2274683271070584E-3</v>
      </c>
      <c r="F13" s="23">
        <f t="shared" si="3"/>
        <v>9.5083551712834991E-3</v>
      </c>
      <c r="G13" s="23" t="str">
        <f t="shared" si="4"/>
        <v>-</v>
      </c>
      <c r="H13" s="23" t="str">
        <f t="shared" si="1"/>
        <v>-</v>
      </c>
      <c r="I13" s="23" t="str">
        <f t="shared" si="1"/>
        <v>-</v>
      </c>
      <c r="J13" s="23" t="str">
        <f t="shared" si="1"/>
        <v>-</v>
      </c>
      <c r="K13" s="23" t="str">
        <f t="shared" si="1"/>
        <v>-</v>
      </c>
      <c r="L13" s="24"/>
      <c r="M13" s="24"/>
      <c r="N13" s="24">
        <v>112821</v>
      </c>
      <c r="O13" s="24">
        <f>324623+32874</f>
        <v>357497</v>
      </c>
      <c r="P13" s="13">
        <f t="shared" si="5"/>
        <v>470318</v>
      </c>
      <c r="Q13" s="24"/>
      <c r="R13" s="24"/>
      <c r="S13" s="24"/>
      <c r="T13" s="24"/>
      <c r="U13" s="24">
        <f t="shared" si="6"/>
        <v>0</v>
      </c>
    </row>
    <row r="14" spans="1:22" x14ac:dyDescent="0.25">
      <c r="A14" s="10" t="s">
        <v>52</v>
      </c>
      <c r="B14" s="23">
        <f t="shared" si="2"/>
        <v>5.8162119213324572E-2</v>
      </c>
      <c r="C14" s="23">
        <f t="shared" si="2"/>
        <v>8.9922994938435915E-3</v>
      </c>
      <c r="D14" s="23">
        <f t="shared" si="2"/>
        <v>0.14429127805282838</v>
      </c>
      <c r="E14" s="23">
        <f t="shared" si="2"/>
        <v>3.3423733028453424E-2</v>
      </c>
      <c r="F14" s="23">
        <f t="shared" si="3"/>
        <v>0.24486942978844997</v>
      </c>
      <c r="G14" s="23">
        <f t="shared" si="4"/>
        <v>0.11118676645550132</v>
      </c>
      <c r="H14" s="23">
        <f t="shared" si="1"/>
        <v>2.5271205666010741E-2</v>
      </c>
      <c r="I14" s="23">
        <f t="shared" si="1"/>
        <v>0.31875065361397764</v>
      </c>
      <c r="J14" s="23">
        <f t="shared" si="1"/>
        <v>6.7836677564000372E-2</v>
      </c>
      <c r="K14" s="23">
        <f t="shared" si="1"/>
        <v>0.52304530329949006</v>
      </c>
      <c r="L14" s="24">
        <f>2168568+708343</f>
        <v>2876911</v>
      </c>
      <c r="M14" s="24">
        <f>428436+16356</f>
        <v>444792</v>
      </c>
      <c r="N14" s="24">
        <f>7137277-103</f>
        <v>7137174</v>
      </c>
      <c r="O14" s="24">
        <v>1653260</v>
      </c>
      <c r="P14" s="13">
        <f t="shared" si="5"/>
        <v>12112137</v>
      </c>
      <c r="Q14" s="24">
        <v>3401</v>
      </c>
      <c r="R14" s="24">
        <v>773</v>
      </c>
      <c r="S14" s="24">
        <v>9750</v>
      </c>
      <c r="T14" s="24">
        <v>2075</v>
      </c>
      <c r="U14" s="24">
        <f t="shared" si="6"/>
        <v>15999</v>
      </c>
    </row>
    <row r="15" spans="1:22" x14ac:dyDescent="0.25">
      <c r="A15" s="10" t="s">
        <v>54</v>
      </c>
      <c r="B15" s="23" t="str">
        <f t="shared" si="2"/>
        <v>-</v>
      </c>
      <c r="C15" s="23" t="str">
        <f t="shared" si="2"/>
        <v>-</v>
      </c>
      <c r="D15" s="23">
        <f t="shared" si="2"/>
        <v>6.1604222307630029E-3</v>
      </c>
      <c r="E15" s="23">
        <f t="shared" si="2"/>
        <v>5.3695385003920404E-3</v>
      </c>
      <c r="F15" s="23">
        <f t="shared" si="3"/>
        <v>1.1529960731155043E-2</v>
      </c>
      <c r="G15" s="23" t="str">
        <f t="shared" si="4"/>
        <v>-</v>
      </c>
      <c r="H15" s="23" t="str">
        <f t="shared" si="1"/>
        <v>-</v>
      </c>
      <c r="I15" s="23" t="str">
        <f t="shared" si="1"/>
        <v>-</v>
      </c>
      <c r="J15" s="23" t="str">
        <f t="shared" si="1"/>
        <v>-</v>
      </c>
      <c r="K15" s="23" t="str">
        <f t="shared" si="1"/>
        <v>-</v>
      </c>
      <c r="L15" s="24"/>
      <c r="M15" s="24"/>
      <c r="N15" s="24">
        <v>304717</v>
      </c>
      <c r="O15" s="24">
        <v>265597</v>
      </c>
      <c r="P15" s="13">
        <f t="shared" si="5"/>
        <v>570314</v>
      </c>
      <c r="Q15" s="24"/>
      <c r="R15" s="24"/>
      <c r="S15" s="24"/>
      <c r="T15" s="24"/>
      <c r="U15" s="24">
        <f t="shared" si="6"/>
        <v>0</v>
      </c>
    </row>
    <row r="16" spans="1:22" x14ac:dyDescent="0.25">
      <c r="A16" s="10" t="s">
        <v>7</v>
      </c>
      <c r="B16" s="23" t="str">
        <f t="shared" si="2"/>
        <v>-</v>
      </c>
      <c r="C16" s="23" t="str">
        <f t="shared" si="2"/>
        <v>-</v>
      </c>
      <c r="D16" s="23">
        <f t="shared" si="2"/>
        <v>1.0441767794781131E-2</v>
      </c>
      <c r="E16" s="23">
        <f t="shared" si="2"/>
        <v>3.1600980545573925E-3</v>
      </c>
      <c r="F16" s="23">
        <f t="shared" si="3"/>
        <v>1.3601865849338524E-2</v>
      </c>
      <c r="G16" s="23" t="str">
        <f t="shared" si="4"/>
        <v>-</v>
      </c>
      <c r="H16" s="23" t="str">
        <f t="shared" si="1"/>
        <v>-</v>
      </c>
      <c r="I16" s="23" t="str">
        <f t="shared" si="1"/>
        <v>-</v>
      </c>
      <c r="J16" s="23" t="str">
        <f t="shared" si="1"/>
        <v>-</v>
      </c>
      <c r="K16" s="23" t="str">
        <f t="shared" si="1"/>
        <v>-</v>
      </c>
      <c r="L16" s="24"/>
      <c r="M16" s="24"/>
      <c r="N16" s="24">
        <v>516488</v>
      </c>
      <c r="O16" s="24">
        <v>156310</v>
      </c>
      <c r="P16" s="13">
        <f>SUM(L16:O16)</f>
        <v>672798</v>
      </c>
      <c r="Q16" s="24"/>
      <c r="R16" s="24"/>
      <c r="S16" s="24"/>
      <c r="T16" s="24"/>
      <c r="U16" s="24">
        <f>SUM(Q16:T16)</f>
        <v>0</v>
      </c>
    </row>
    <row r="17" spans="1:21" x14ac:dyDescent="0.25">
      <c r="A17" s="10" t="s">
        <v>8</v>
      </c>
      <c r="B17" s="23" t="str">
        <f t="shared" si="2"/>
        <v>-</v>
      </c>
      <c r="C17" s="23" t="str">
        <f t="shared" si="2"/>
        <v>-</v>
      </c>
      <c r="D17" s="23">
        <f t="shared" si="2"/>
        <v>9.9861201077898042E-4</v>
      </c>
      <c r="E17" s="23">
        <f t="shared" si="2"/>
        <v>1.4194260406274362E-3</v>
      </c>
      <c r="F17" s="23">
        <f t="shared" si="3"/>
        <v>2.4180380514064164E-3</v>
      </c>
      <c r="G17" s="23" t="str">
        <f t="shared" si="4"/>
        <v>-</v>
      </c>
      <c r="H17" s="23" t="str">
        <f t="shared" si="1"/>
        <v>-</v>
      </c>
      <c r="I17" s="23">
        <f t="shared" si="1"/>
        <v>3.8903925928270092E-3</v>
      </c>
      <c r="J17" s="23">
        <f t="shared" si="1"/>
        <v>2.942313725667486E-3</v>
      </c>
      <c r="K17" s="23">
        <f t="shared" si="1"/>
        <v>6.8327063184944947E-3</v>
      </c>
      <c r="L17" s="24"/>
      <c r="M17" s="24"/>
      <c r="N17" s="24">
        <f>41526+7869</f>
        <v>49395</v>
      </c>
      <c r="O17" s="24">
        <f>11836+58374</f>
        <v>70210</v>
      </c>
      <c r="P17" s="13">
        <f t="shared" si="5"/>
        <v>119605</v>
      </c>
      <c r="Q17" s="24"/>
      <c r="R17" s="24"/>
      <c r="S17" s="24">
        <v>119</v>
      </c>
      <c r="T17" s="24">
        <v>90</v>
      </c>
      <c r="U17" s="24">
        <f t="shared" si="6"/>
        <v>209</v>
      </c>
    </row>
    <row r="18" spans="1:21" x14ac:dyDescent="0.25">
      <c r="A18" s="10" t="s">
        <v>9</v>
      </c>
      <c r="B18" s="23">
        <f t="shared" si="2"/>
        <v>3.653086289861481E-3</v>
      </c>
      <c r="C18" s="23" t="str">
        <f t="shared" si="2"/>
        <v>-</v>
      </c>
      <c r="D18" s="23">
        <f t="shared" si="2"/>
        <v>4.0266939416318129E-3</v>
      </c>
      <c r="E18" s="23">
        <f t="shared" si="2"/>
        <v>5.2215106201830373E-3</v>
      </c>
      <c r="F18" s="23">
        <f t="shared" si="3"/>
        <v>1.2901290851676331E-2</v>
      </c>
      <c r="G18" s="23" t="str">
        <f t="shared" si="4"/>
        <v>-</v>
      </c>
      <c r="H18" s="23" t="str">
        <f t="shared" si="1"/>
        <v>-</v>
      </c>
      <c r="I18" s="23" t="str">
        <f t="shared" si="1"/>
        <v>-</v>
      </c>
      <c r="J18" s="23" t="str">
        <f t="shared" si="1"/>
        <v>-</v>
      </c>
      <c r="K18" s="23" t="str">
        <f t="shared" si="1"/>
        <v>-</v>
      </c>
      <c r="L18" s="24">
        <v>180695</v>
      </c>
      <c r="M18" s="24"/>
      <c r="N18" s="24">
        <f>50716+148459</f>
        <v>199175</v>
      </c>
      <c r="O18" s="24">
        <f>133780+124495</f>
        <v>258275</v>
      </c>
      <c r="P18" s="13">
        <f t="shared" si="5"/>
        <v>638145</v>
      </c>
      <c r="Q18" s="24"/>
      <c r="R18" s="24"/>
      <c r="S18" s="24"/>
      <c r="T18" s="24"/>
      <c r="U18" s="24">
        <f t="shared" si="6"/>
        <v>0</v>
      </c>
    </row>
    <row r="19" spans="1:21" x14ac:dyDescent="0.25">
      <c r="A19" s="10" t="s">
        <v>10</v>
      </c>
      <c r="B19" s="23" t="str">
        <f t="shared" si="2"/>
        <v>-</v>
      </c>
      <c r="C19" s="23" t="str">
        <f t="shared" si="2"/>
        <v>-</v>
      </c>
      <c r="D19" s="23">
        <f t="shared" si="2"/>
        <v>1.0394682717888647E-2</v>
      </c>
      <c r="E19" s="23">
        <f t="shared" si="2"/>
        <v>4.5854476364169021E-3</v>
      </c>
      <c r="F19" s="23">
        <f t="shared" si="3"/>
        <v>1.498013035430555E-2</v>
      </c>
      <c r="G19" s="23" t="str">
        <f t="shared" si="4"/>
        <v>-</v>
      </c>
      <c r="H19" s="23" t="str">
        <f t="shared" si="1"/>
        <v>-</v>
      </c>
      <c r="I19" s="23">
        <f t="shared" si="1"/>
        <v>1.830772984859769E-2</v>
      </c>
      <c r="J19" s="23">
        <f t="shared" si="1"/>
        <v>2.9750061003971247E-3</v>
      </c>
      <c r="K19" s="23">
        <f t="shared" si="1"/>
        <v>2.1282735948994814E-2</v>
      </c>
      <c r="L19" s="24"/>
      <c r="M19" s="24"/>
      <c r="N19" s="24">
        <v>514159</v>
      </c>
      <c r="O19" s="24">
        <v>226813</v>
      </c>
      <c r="P19" s="13">
        <f t="shared" si="5"/>
        <v>740972</v>
      </c>
      <c r="Q19" s="24"/>
      <c r="R19" s="24"/>
      <c r="S19" s="24">
        <v>560</v>
      </c>
      <c r="T19" s="24">
        <v>91</v>
      </c>
      <c r="U19" s="24">
        <f t="shared" si="6"/>
        <v>651</v>
      </c>
    </row>
    <row r="20" spans="1:21" x14ac:dyDescent="0.25">
      <c r="A20" s="10" t="s">
        <v>11</v>
      </c>
      <c r="B20" s="23">
        <f t="shared" si="2"/>
        <v>7.1325097156154319E-3</v>
      </c>
      <c r="C20" s="23" t="str">
        <f t="shared" si="2"/>
        <v>-</v>
      </c>
      <c r="D20" s="23">
        <f t="shared" si="2"/>
        <v>1.283564669338097E-2</v>
      </c>
      <c r="E20" s="23">
        <f t="shared" si="2"/>
        <v>8.5972623702808611E-3</v>
      </c>
      <c r="F20" s="23">
        <f t="shared" si="3"/>
        <v>2.8565418779277263E-2</v>
      </c>
      <c r="G20" s="23">
        <f t="shared" si="4"/>
        <v>2.0400041831294569E-2</v>
      </c>
      <c r="H20" s="23" t="str">
        <f t="shared" si="1"/>
        <v>-</v>
      </c>
      <c r="I20" s="23">
        <f t="shared" si="1"/>
        <v>3.7792385187462377E-2</v>
      </c>
      <c r="J20" s="23">
        <f t="shared" si="1"/>
        <v>2.5009666668173631E-2</v>
      </c>
      <c r="K20" s="23">
        <f t="shared" si="1"/>
        <v>8.3202093686930573E-2</v>
      </c>
      <c r="L20" s="24">
        <v>352800</v>
      </c>
      <c r="M20" s="24"/>
      <c r="N20" s="24">
        <v>634898</v>
      </c>
      <c r="O20" s="24">
        <v>425252.02</v>
      </c>
      <c r="P20" s="13">
        <f t="shared" si="5"/>
        <v>1412950.02</v>
      </c>
      <c r="Q20" s="24">
        <v>624</v>
      </c>
      <c r="R20" s="24"/>
      <c r="S20" s="24">
        <f>1050+106</f>
        <v>1156</v>
      </c>
      <c r="T20" s="24">
        <f>327+409+29</f>
        <v>765</v>
      </c>
      <c r="U20" s="24">
        <f t="shared" si="6"/>
        <v>2545</v>
      </c>
    </row>
    <row r="21" spans="1:21" x14ac:dyDescent="0.25">
      <c r="A21" s="10" t="s">
        <v>12</v>
      </c>
      <c r="B21" s="23" t="str">
        <f t="shared" si="2"/>
        <v>-</v>
      </c>
      <c r="C21" s="23" t="str">
        <f t="shared" si="2"/>
        <v>-</v>
      </c>
      <c r="D21" s="23">
        <f t="shared" si="2"/>
        <v>7.3305743349008183E-3</v>
      </c>
      <c r="E21" s="23">
        <f t="shared" si="2"/>
        <v>2.1728074877714527E-3</v>
      </c>
      <c r="F21" s="23">
        <f t="shared" si="3"/>
        <v>9.5033818226722706E-3</v>
      </c>
      <c r="G21" s="23" t="str">
        <f t="shared" si="4"/>
        <v>-</v>
      </c>
      <c r="H21" s="23" t="str">
        <f t="shared" si="1"/>
        <v>-</v>
      </c>
      <c r="I21" s="23" t="str">
        <f t="shared" si="1"/>
        <v>-</v>
      </c>
      <c r="J21" s="23" t="str">
        <f t="shared" si="1"/>
        <v>-</v>
      </c>
      <c r="K21" s="23" t="str">
        <f t="shared" si="1"/>
        <v>-</v>
      </c>
      <c r="L21" s="24"/>
      <c r="M21" s="24"/>
      <c r="N21" s="24">
        <f>146541+216056</f>
        <v>362597</v>
      </c>
      <c r="O21" s="24">
        <v>107475</v>
      </c>
      <c r="P21" s="13">
        <f t="shared" si="5"/>
        <v>470072</v>
      </c>
      <c r="Q21" s="24"/>
      <c r="R21" s="24"/>
      <c r="S21" s="24"/>
      <c r="T21" s="24"/>
      <c r="U21" s="24">
        <f t="shared" si="6"/>
        <v>0</v>
      </c>
    </row>
    <row r="22" spans="1:21" x14ac:dyDescent="0.25">
      <c r="A22" s="10" t="s">
        <v>13</v>
      </c>
      <c r="B22" s="23">
        <f t="shared" si="2"/>
        <v>1.1267363881109327E-2</v>
      </c>
      <c r="C22" s="23" t="str">
        <f t="shared" si="2"/>
        <v>-</v>
      </c>
      <c r="D22" s="23">
        <f t="shared" si="2"/>
        <v>3.8451262835934282E-3</v>
      </c>
      <c r="E22" s="23">
        <f t="shared" si="2"/>
        <v>6.2972904018931521E-3</v>
      </c>
      <c r="F22" s="23">
        <f t="shared" si="3"/>
        <v>2.1409780566595909E-2</v>
      </c>
      <c r="G22" s="23" t="str">
        <f t="shared" si="4"/>
        <v>-</v>
      </c>
      <c r="H22" s="23" t="str">
        <f t="shared" si="1"/>
        <v>-</v>
      </c>
      <c r="I22" s="23">
        <f t="shared" si="1"/>
        <v>1.0232713290376923E-2</v>
      </c>
      <c r="J22" s="23">
        <f t="shared" si="1"/>
        <v>1.677118823630467E-2</v>
      </c>
      <c r="K22" s="23">
        <f t="shared" si="1"/>
        <v>2.7003901526681591E-2</v>
      </c>
      <c r="L22" s="24">
        <v>557325</v>
      </c>
      <c r="M22" s="24"/>
      <c r="N22" s="24">
        <v>190194</v>
      </c>
      <c r="O22" s="24">
        <v>311487</v>
      </c>
      <c r="P22" s="13">
        <f t="shared" si="5"/>
        <v>1059006</v>
      </c>
      <c r="Q22" s="24"/>
      <c r="R22" s="24"/>
      <c r="S22" s="24">
        <v>313</v>
      </c>
      <c r="T22" s="24">
        <v>513</v>
      </c>
      <c r="U22" s="24">
        <f t="shared" si="6"/>
        <v>826</v>
      </c>
    </row>
    <row r="23" spans="1:21" x14ac:dyDescent="0.25">
      <c r="A23" s="10" t="s">
        <v>14</v>
      </c>
      <c r="B23" s="23" t="str">
        <f t="shared" si="2"/>
        <v>-</v>
      </c>
      <c r="C23" s="23" t="str">
        <f t="shared" si="2"/>
        <v>-</v>
      </c>
      <c r="D23" s="23">
        <f t="shared" si="2"/>
        <v>1.2097387460713373E-2</v>
      </c>
      <c r="E23" s="23">
        <f t="shared" si="2"/>
        <v>1.2599796754768812E-2</v>
      </c>
      <c r="F23" s="23">
        <f t="shared" si="3"/>
        <v>2.4697184215482185E-2</v>
      </c>
      <c r="G23" s="23" t="str">
        <f t="shared" si="4"/>
        <v>-</v>
      </c>
      <c r="H23" s="23" t="str">
        <f t="shared" si="1"/>
        <v>-</v>
      </c>
      <c r="I23" s="23" t="str">
        <f t="shared" si="1"/>
        <v>-</v>
      </c>
      <c r="J23" s="23">
        <f t="shared" si="1"/>
        <v>3.8119308934758761E-2</v>
      </c>
      <c r="K23" s="23">
        <f t="shared" si="1"/>
        <v>3.8119308934758761E-2</v>
      </c>
      <c r="L23" s="24"/>
      <c r="M23" s="24"/>
      <c r="N23" s="24">
        <f>360651+201939+35791</f>
        <v>598381</v>
      </c>
      <c r="O23" s="24">
        <f>279624+296408+47200</f>
        <v>623232</v>
      </c>
      <c r="P23" s="13">
        <f t="shared" si="5"/>
        <v>1221613</v>
      </c>
      <c r="Q23" s="24"/>
      <c r="R23" s="24"/>
      <c r="S23" s="24"/>
      <c r="T23" s="24">
        <v>1166</v>
      </c>
      <c r="U23" s="24">
        <f t="shared" si="6"/>
        <v>1166</v>
      </c>
    </row>
    <row r="24" spans="1:21" x14ac:dyDescent="0.25">
      <c r="A24" s="10" t="s">
        <v>15</v>
      </c>
      <c r="B24" s="23" t="str">
        <f t="shared" si="2"/>
        <v>-</v>
      </c>
      <c r="C24" s="23" t="str">
        <f t="shared" si="2"/>
        <v>-</v>
      </c>
      <c r="D24" s="23">
        <f t="shared" si="2"/>
        <v>6.4280530800127685E-3</v>
      </c>
      <c r="E24" s="23">
        <f t="shared" si="2"/>
        <v>8.6797467721785853E-3</v>
      </c>
      <c r="F24" s="23">
        <f t="shared" si="3"/>
        <v>1.5107799852191352E-2</v>
      </c>
      <c r="G24" s="23" t="str">
        <f t="shared" si="4"/>
        <v>-</v>
      </c>
      <c r="H24" s="23" t="str">
        <f t="shared" si="4"/>
        <v>-</v>
      </c>
      <c r="I24" s="23" t="str">
        <f t="shared" si="4"/>
        <v>-</v>
      </c>
      <c r="J24" s="23" t="str">
        <f t="shared" si="4"/>
        <v>-</v>
      </c>
      <c r="K24" s="23" t="str">
        <f t="shared" si="4"/>
        <v>-</v>
      </c>
      <c r="L24" s="24"/>
      <c r="M24" s="24"/>
      <c r="N24" s="24">
        <v>317955</v>
      </c>
      <c r="O24" s="24">
        <v>429332</v>
      </c>
      <c r="P24" s="13">
        <f t="shared" si="5"/>
        <v>747287</v>
      </c>
      <c r="Q24" s="24"/>
      <c r="R24" s="24"/>
      <c r="S24" s="24"/>
      <c r="T24" s="24"/>
      <c r="U24" s="24">
        <f t="shared" si="6"/>
        <v>0</v>
      </c>
    </row>
    <row r="25" spans="1:21" x14ac:dyDescent="0.25">
      <c r="A25" s="10" t="s">
        <v>16</v>
      </c>
      <c r="B25" s="23" t="str">
        <f t="shared" si="2"/>
        <v>-</v>
      </c>
      <c r="C25" s="23" t="str">
        <f t="shared" si="2"/>
        <v>-</v>
      </c>
      <c r="D25" s="23">
        <f t="shared" si="2"/>
        <v>1.504158962169634E-2</v>
      </c>
      <c r="E25" s="23">
        <f t="shared" si="2"/>
        <v>1.7253658259886513E-2</v>
      </c>
      <c r="F25" s="23">
        <f t="shared" si="3"/>
        <v>3.2295247881582854E-2</v>
      </c>
      <c r="G25" s="23" t="str">
        <f t="shared" si="4"/>
        <v>-</v>
      </c>
      <c r="H25" s="23" t="str">
        <f t="shared" si="4"/>
        <v>-</v>
      </c>
      <c r="I25" s="23" t="str">
        <f t="shared" si="4"/>
        <v>-</v>
      </c>
      <c r="J25" s="23" t="str">
        <f t="shared" si="4"/>
        <v>-</v>
      </c>
      <c r="K25" s="23" t="str">
        <f t="shared" si="4"/>
        <v>-</v>
      </c>
      <c r="L25" s="24"/>
      <c r="M25" s="24"/>
      <c r="N25" s="24">
        <f>292952+341808+109252</f>
        <v>744012</v>
      </c>
      <c r="O25" s="24">
        <f>172592+552271+128566</f>
        <v>853429</v>
      </c>
      <c r="P25" s="13">
        <f t="shared" si="5"/>
        <v>1597441</v>
      </c>
      <c r="Q25" s="24"/>
      <c r="R25" s="24"/>
      <c r="S25" s="24"/>
      <c r="T25" s="24"/>
      <c r="U25" s="24">
        <f t="shared" si="6"/>
        <v>0</v>
      </c>
    </row>
    <row r="26" spans="1:21" x14ac:dyDescent="0.25">
      <c r="A26" s="10" t="s">
        <v>49</v>
      </c>
      <c r="B26" s="23" t="str">
        <f t="shared" si="2"/>
        <v>-</v>
      </c>
      <c r="C26" s="23" t="str">
        <f t="shared" si="2"/>
        <v>-</v>
      </c>
      <c r="D26" s="23">
        <f t="shared" si="2"/>
        <v>1.8757611010040561E-3</v>
      </c>
      <c r="E26" s="23">
        <f t="shared" si="2"/>
        <v>3.9378408231507196E-4</v>
      </c>
      <c r="F26" s="23">
        <f t="shared" si="3"/>
        <v>2.2695451833191281E-3</v>
      </c>
      <c r="G26" s="23" t="str">
        <f t="shared" si="4"/>
        <v>-</v>
      </c>
      <c r="H26" s="23" t="str">
        <f t="shared" si="4"/>
        <v>-</v>
      </c>
      <c r="I26" s="23" t="str">
        <f t="shared" si="4"/>
        <v>-</v>
      </c>
      <c r="J26" s="23" t="str">
        <f t="shared" si="4"/>
        <v>-</v>
      </c>
      <c r="K26" s="23" t="str">
        <f t="shared" si="4"/>
        <v>-</v>
      </c>
      <c r="L26" s="24"/>
      <c r="M26" s="24"/>
      <c r="N26" s="24">
        <v>92782</v>
      </c>
      <c r="O26" s="24">
        <v>19478</v>
      </c>
      <c r="P26" s="13">
        <f t="shared" si="5"/>
        <v>112260</v>
      </c>
      <c r="Q26" s="24"/>
      <c r="R26" s="24"/>
      <c r="S26" s="24"/>
      <c r="T26" s="24"/>
      <c r="U26" s="24">
        <f t="shared" si="6"/>
        <v>0</v>
      </c>
    </row>
    <row r="27" spans="1:21" x14ac:dyDescent="0.25">
      <c r="A27" s="10" t="s">
        <v>48</v>
      </c>
      <c r="B27" s="23" t="str">
        <f t="shared" si="2"/>
        <v>-</v>
      </c>
      <c r="C27" s="23" t="str">
        <f t="shared" si="2"/>
        <v>-</v>
      </c>
      <c r="D27" s="23">
        <f t="shared" si="2"/>
        <v>1.9063289997852651E-3</v>
      </c>
      <c r="E27" s="23">
        <f t="shared" si="2"/>
        <v>1.1776929945117511E-3</v>
      </c>
      <c r="F27" s="23">
        <f t="shared" si="3"/>
        <v>3.084021994297016E-3</v>
      </c>
      <c r="G27" s="23" t="str">
        <f t="shared" si="4"/>
        <v>-</v>
      </c>
      <c r="H27" s="23" t="str">
        <f t="shared" si="4"/>
        <v>-</v>
      </c>
      <c r="I27" s="23">
        <f t="shared" si="4"/>
        <v>4.8384714599865319E-3</v>
      </c>
      <c r="J27" s="23">
        <f t="shared" si="4"/>
        <v>3.1384679740453182E-3</v>
      </c>
      <c r="K27" s="23">
        <f t="shared" si="4"/>
        <v>7.976939434031851E-3</v>
      </c>
      <c r="L27" s="24"/>
      <c r="M27" s="24"/>
      <c r="N27" s="24">
        <v>94294</v>
      </c>
      <c r="O27" s="24">
        <v>58253</v>
      </c>
      <c r="P27" s="13">
        <f t="shared" si="5"/>
        <v>152547</v>
      </c>
      <c r="Q27" s="24"/>
      <c r="R27" s="24"/>
      <c r="S27" s="24">
        <v>148</v>
      </c>
      <c r="T27" s="24">
        <v>96</v>
      </c>
      <c r="U27" s="24">
        <f t="shared" si="6"/>
        <v>244</v>
      </c>
    </row>
    <row r="28" spans="1:21" x14ac:dyDescent="0.25">
      <c r="A28" s="10" t="s">
        <v>47</v>
      </c>
      <c r="B28" s="23" t="str">
        <f t="shared" si="2"/>
        <v>-</v>
      </c>
      <c r="C28" s="23" t="str">
        <f t="shared" si="2"/>
        <v>-</v>
      </c>
      <c r="D28" s="23">
        <f t="shared" si="2"/>
        <v>3.777480655735012E-3</v>
      </c>
      <c r="E28" s="23">
        <f t="shared" si="2"/>
        <v>7.6904951695581361E-4</v>
      </c>
      <c r="F28" s="23">
        <f t="shared" si="3"/>
        <v>4.5465301726908252E-3</v>
      </c>
      <c r="G28" s="23" t="str">
        <f t="shared" si="4"/>
        <v>-</v>
      </c>
      <c r="H28" s="23" t="str">
        <f t="shared" si="4"/>
        <v>-</v>
      </c>
      <c r="I28" s="23">
        <f t="shared" si="4"/>
        <v>8.8596335517320962E-3</v>
      </c>
      <c r="J28" s="23">
        <f t="shared" si="4"/>
        <v>1.8307729848597689E-3</v>
      </c>
      <c r="K28" s="23">
        <f t="shared" si="4"/>
        <v>1.0690406536591866E-2</v>
      </c>
      <c r="L28" s="24"/>
      <c r="M28" s="24"/>
      <c r="N28" s="24">
        <f>63608+123240</f>
        <v>186848</v>
      </c>
      <c r="O28" s="24">
        <v>38040</v>
      </c>
      <c r="P28" s="13">
        <f t="shared" si="5"/>
        <v>224888</v>
      </c>
      <c r="Q28" s="24"/>
      <c r="R28" s="24"/>
      <c r="S28" s="24">
        <v>271</v>
      </c>
      <c r="T28" s="24">
        <v>56</v>
      </c>
      <c r="U28" s="24">
        <f t="shared" si="6"/>
        <v>327</v>
      </c>
    </row>
    <row r="29" spans="1:21" x14ac:dyDescent="0.25">
      <c r="A29" s="10" t="s">
        <v>45</v>
      </c>
      <c r="B29" s="23" t="str">
        <f t="shared" si="2"/>
        <v>-</v>
      </c>
      <c r="C29" s="23" t="str">
        <f t="shared" si="2"/>
        <v>-</v>
      </c>
      <c r="D29" s="23">
        <f t="shared" si="2"/>
        <v>1.3155315751270174E-3</v>
      </c>
      <c r="E29" s="23">
        <f t="shared" si="2"/>
        <v>5.1457378128867606E-3</v>
      </c>
      <c r="F29" s="23">
        <f t="shared" si="3"/>
        <v>6.4612693880137777E-3</v>
      </c>
      <c r="G29" s="23" t="str">
        <f t="shared" si="4"/>
        <v>-</v>
      </c>
      <c r="H29" s="23" t="str">
        <f t="shared" si="4"/>
        <v>-</v>
      </c>
      <c r="I29" s="23">
        <f t="shared" si="4"/>
        <v>4.511547712690145E-3</v>
      </c>
      <c r="J29" s="23">
        <f t="shared" si="4"/>
        <v>1.5528877996578398E-2</v>
      </c>
      <c r="K29" s="23">
        <f t="shared" si="4"/>
        <v>2.0040425709268544E-2</v>
      </c>
      <c r="L29" s="24"/>
      <c r="M29" s="24"/>
      <c r="N29" s="24">
        <v>65071</v>
      </c>
      <c r="O29" s="24">
        <v>254527</v>
      </c>
      <c r="P29" s="13">
        <f t="shared" si="5"/>
        <v>319598</v>
      </c>
      <c r="Q29" s="24"/>
      <c r="R29" s="24"/>
      <c r="S29" s="24">
        <v>138</v>
      </c>
      <c r="T29" s="24">
        <v>475</v>
      </c>
      <c r="U29" s="24">
        <f t="shared" si="6"/>
        <v>613</v>
      </c>
    </row>
    <row r="30" spans="1:21" x14ac:dyDescent="0.25">
      <c r="A30" s="10" t="s">
        <v>30</v>
      </c>
      <c r="B30" s="23" t="str">
        <f t="shared" si="2"/>
        <v>-</v>
      </c>
      <c r="C30" s="23" t="str">
        <f t="shared" si="2"/>
        <v>-</v>
      </c>
      <c r="D30" s="23">
        <f t="shared" si="2"/>
        <v>7.0457793678830336E-4</v>
      </c>
      <c r="E30" s="23">
        <f t="shared" si="2"/>
        <v>2.7447223611984511E-3</v>
      </c>
      <c r="F30" s="23">
        <f t="shared" si="3"/>
        <v>3.4493002979867544E-3</v>
      </c>
      <c r="G30" s="23" t="str">
        <f t="shared" si="4"/>
        <v>-</v>
      </c>
      <c r="H30" s="23" t="str">
        <f t="shared" si="4"/>
        <v>-</v>
      </c>
      <c r="I30" s="23" t="str">
        <f t="shared" si="4"/>
        <v>-</v>
      </c>
      <c r="J30" s="23" t="str">
        <f t="shared" si="4"/>
        <v>-</v>
      </c>
      <c r="K30" s="23" t="str">
        <f t="shared" si="4"/>
        <v>-</v>
      </c>
      <c r="L30" s="24"/>
      <c r="M30" s="24"/>
      <c r="N30" s="24">
        <f>10498+24353</f>
        <v>34851</v>
      </c>
      <c r="O30" s="24">
        <f>23165+112599</f>
        <v>135764</v>
      </c>
      <c r="P30" s="13">
        <f t="shared" si="5"/>
        <v>170615</v>
      </c>
      <c r="Q30" s="24"/>
      <c r="R30" s="24"/>
      <c r="S30" s="24"/>
      <c r="T30" s="24"/>
      <c r="U30" s="24">
        <f t="shared" si="6"/>
        <v>0</v>
      </c>
    </row>
    <row r="31" spans="1:21" x14ac:dyDescent="0.25">
      <c r="A31" s="10" t="s">
        <v>50</v>
      </c>
      <c r="B31" s="23" t="str">
        <f t="shared" si="2"/>
        <v>-</v>
      </c>
      <c r="C31" s="23" t="str">
        <f t="shared" si="2"/>
        <v>-</v>
      </c>
      <c r="D31" s="23">
        <f t="shared" si="2"/>
        <v>5.8053332266670013E-3</v>
      </c>
      <c r="E31" s="23">
        <f t="shared" si="2"/>
        <v>1.3813779020651112E-3</v>
      </c>
      <c r="F31" s="23">
        <f t="shared" si="3"/>
        <v>7.1867111287321128E-3</v>
      </c>
      <c r="G31" s="23" t="str">
        <f t="shared" si="4"/>
        <v>-</v>
      </c>
      <c r="H31" s="23" t="str">
        <f t="shared" si="4"/>
        <v>-</v>
      </c>
      <c r="I31" s="23">
        <f t="shared" si="4"/>
        <v>1.0003866667269452E-2</v>
      </c>
      <c r="J31" s="23">
        <f t="shared" si="4"/>
        <v>6.7019368195759396E-3</v>
      </c>
      <c r="K31" s="23">
        <f t="shared" si="4"/>
        <v>1.6705803486845392E-2</v>
      </c>
      <c r="L31" s="24"/>
      <c r="M31" s="24"/>
      <c r="N31" s="24">
        <v>287153</v>
      </c>
      <c r="O31" s="24">
        <v>68328</v>
      </c>
      <c r="P31" s="13">
        <f t="shared" si="5"/>
        <v>355481</v>
      </c>
      <c r="Q31" s="24"/>
      <c r="R31" s="24"/>
      <c r="S31" s="24">
        <v>306</v>
      </c>
      <c r="T31" s="24">
        <v>205</v>
      </c>
      <c r="U31" s="24">
        <f t="shared" si="6"/>
        <v>511</v>
      </c>
    </row>
    <row r="32" spans="1:21" x14ac:dyDescent="0.25">
      <c r="A32" s="10" t="s">
        <v>17</v>
      </c>
      <c r="B32" s="23" t="str">
        <f t="shared" si="2"/>
        <v>-</v>
      </c>
      <c r="C32" s="23" t="str">
        <f t="shared" si="2"/>
        <v>-</v>
      </c>
      <c r="D32" s="23">
        <f t="shared" si="2"/>
        <v>1.777209952731067E-2</v>
      </c>
      <c r="E32" s="23">
        <f t="shared" si="2"/>
        <v>1.545868374851851E-2</v>
      </c>
      <c r="F32" s="23">
        <f t="shared" si="3"/>
        <v>3.3230783275829179E-2</v>
      </c>
      <c r="G32" s="23" t="str">
        <f t="shared" si="4"/>
        <v>-</v>
      </c>
      <c r="H32" s="23" t="str">
        <f t="shared" si="4"/>
        <v>-</v>
      </c>
      <c r="I32" s="23" t="str">
        <f t="shared" si="4"/>
        <v>-</v>
      </c>
      <c r="J32" s="23" t="str">
        <f t="shared" si="4"/>
        <v>-</v>
      </c>
      <c r="K32" s="23" t="str">
        <f t="shared" si="4"/>
        <v>-</v>
      </c>
      <c r="L32" s="24"/>
      <c r="M32" s="24"/>
      <c r="N32" s="24">
        <f>210195+300898+367980</f>
        <v>879073</v>
      </c>
      <c r="O32" s="24">
        <f>350246+17040+397357</f>
        <v>764643</v>
      </c>
      <c r="P32" s="13">
        <f t="shared" si="5"/>
        <v>1643716</v>
      </c>
      <c r="Q32" s="24"/>
      <c r="R32" s="24"/>
      <c r="S32" s="24"/>
      <c r="T32" s="24"/>
      <c r="U32" s="24">
        <f t="shared" si="6"/>
        <v>0</v>
      </c>
    </row>
    <row r="33" spans="1:23" x14ac:dyDescent="0.25">
      <c r="A33" s="10" t="s">
        <v>18</v>
      </c>
      <c r="B33" s="23">
        <f t="shared" si="2"/>
        <v>6.0867924110796943E-3</v>
      </c>
      <c r="C33" s="23" t="str">
        <f t="shared" si="2"/>
        <v>-</v>
      </c>
      <c r="D33" s="23">
        <f t="shared" si="2"/>
        <v>5.9764588743082339E-2</v>
      </c>
      <c r="E33" s="23">
        <f t="shared" si="2"/>
        <v>2.6899144421535716E-2</v>
      </c>
      <c r="F33" s="23">
        <f t="shared" si="3"/>
        <v>9.2750525575697754E-2</v>
      </c>
      <c r="G33" s="23" t="str">
        <f t="shared" si="4"/>
        <v>-</v>
      </c>
      <c r="H33" s="23" t="str">
        <f t="shared" si="4"/>
        <v>-</v>
      </c>
      <c r="I33" s="23" t="str">
        <f t="shared" si="4"/>
        <v>-</v>
      </c>
      <c r="J33" s="23" t="str">
        <f t="shared" si="4"/>
        <v>-</v>
      </c>
      <c r="K33" s="23" t="str">
        <f t="shared" si="4"/>
        <v>-</v>
      </c>
      <c r="L33" s="24">
        <v>301075</v>
      </c>
      <c r="M33" s="24"/>
      <c r="N33" s="24">
        <f>269795+303894+192633+374594+226725+252425+424228+327951+39868+530586+13476</f>
        <v>2956175</v>
      </c>
      <c r="O33" s="24">
        <f>70396+265813+469552+11679+473389+39701</f>
        <v>1330530</v>
      </c>
      <c r="P33" s="13">
        <f t="shared" si="5"/>
        <v>4587780</v>
      </c>
      <c r="Q33" s="24"/>
      <c r="R33" s="24"/>
      <c r="S33" s="24"/>
      <c r="T33" s="24"/>
      <c r="U33" s="24">
        <f t="shared" si="6"/>
        <v>0</v>
      </c>
      <c r="W33" s="15"/>
    </row>
    <row r="34" spans="1:23" x14ac:dyDescent="0.25">
      <c r="A34" s="10" t="s">
        <v>19</v>
      </c>
      <c r="B34" s="23" t="str">
        <f t="shared" si="2"/>
        <v>-</v>
      </c>
      <c r="C34" s="23" t="str">
        <f t="shared" si="2"/>
        <v>-</v>
      </c>
      <c r="D34" s="23">
        <f t="shared" si="2"/>
        <v>2.6341563304878479E-3</v>
      </c>
      <c r="E34" s="23">
        <f t="shared" si="2"/>
        <v>2.1881318708906038E-3</v>
      </c>
      <c r="F34" s="23">
        <f t="shared" si="3"/>
        <v>4.8222882013784513E-3</v>
      </c>
      <c r="G34" s="23" t="str">
        <f t="shared" si="4"/>
        <v>-</v>
      </c>
      <c r="H34" s="23" t="str">
        <f t="shared" si="4"/>
        <v>-</v>
      </c>
      <c r="I34" s="23" t="str">
        <f t="shared" si="4"/>
        <v>-</v>
      </c>
      <c r="J34" s="23" t="str">
        <f t="shared" si="4"/>
        <v>-</v>
      </c>
      <c r="K34" s="23" t="str">
        <f t="shared" si="4"/>
        <v>-</v>
      </c>
      <c r="L34" s="24"/>
      <c r="M34" s="24"/>
      <c r="N34" s="24">
        <v>130295</v>
      </c>
      <c r="O34" s="24">
        <v>108233</v>
      </c>
      <c r="P34" s="13">
        <f t="shared" si="5"/>
        <v>238528</v>
      </c>
      <c r="Q34" s="24"/>
      <c r="R34" s="24"/>
      <c r="S34" s="24"/>
      <c r="T34" s="24"/>
      <c r="U34" s="24">
        <f t="shared" si="6"/>
        <v>0</v>
      </c>
    </row>
    <row r="35" spans="1:23" x14ac:dyDescent="0.25">
      <c r="A35" s="10" t="s">
        <v>20</v>
      </c>
      <c r="B35" s="23">
        <f t="shared" si="2"/>
        <v>3.1286810474767056E-3</v>
      </c>
      <c r="C35" s="23" t="str">
        <f t="shared" si="2"/>
        <v>-</v>
      </c>
      <c r="D35" s="23">
        <f t="shared" si="2"/>
        <v>1.6133684412874997E-2</v>
      </c>
      <c r="E35" s="23" t="str">
        <f t="shared" si="2"/>
        <v>-</v>
      </c>
      <c r="F35" s="23">
        <f t="shared" si="3"/>
        <v>1.9262365460351701E-2</v>
      </c>
      <c r="G35" s="23" t="str">
        <f t="shared" si="4"/>
        <v>-</v>
      </c>
      <c r="H35" s="23" t="str">
        <f t="shared" si="4"/>
        <v>-</v>
      </c>
      <c r="I35" s="23" t="str">
        <f t="shared" si="4"/>
        <v>-</v>
      </c>
      <c r="J35" s="23" t="str">
        <f t="shared" si="4"/>
        <v>-</v>
      </c>
      <c r="K35" s="23" t="str">
        <f t="shared" si="4"/>
        <v>-</v>
      </c>
      <c r="L35" s="24">
        <v>154756</v>
      </c>
      <c r="M35" s="24"/>
      <c r="N35" s="24">
        <f>179817+618214</f>
        <v>798031</v>
      </c>
      <c r="O35" s="24"/>
      <c r="P35" s="13">
        <f t="shared" si="5"/>
        <v>952787</v>
      </c>
      <c r="Q35" s="24"/>
      <c r="R35" s="24"/>
      <c r="S35" s="24"/>
      <c r="T35" s="24"/>
      <c r="U35" s="24">
        <f t="shared" si="6"/>
        <v>0</v>
      </c>
    </row>
    <row r="36" spans="1:23" x14ac:dyDescent="0.25">
      <c r="A36" s="10" t="s">
        <v>21</v>
      </c>
      <c r="B36" s="23">
        <f t="shared" si="2"/>
        <v>1.7900355314260399E-2</v>
      </c>
      <c r="C36" s="23" t="str">
        <f t="shared" si="2"/>
        <v>-</v>
      </c>
      <c r="D36" s="23">
        <f t="shared" si="2"/>
        <v>3.8938853168477401E-2</v>
      </c>
      <c r="E36" s="23">
        <f t="shared" si="2"/>
        <v>1.1325729968266305E-2</v>
      </c>
      <c r="F36" s="23">
        <f t="shared" si="3"/>
        <v>6.8164938451004103E-2</v>
      </c>
      <c r="G36" s="23" t="str">
        <f t="shared" si="4"/>
        <v>-</v>
      </c>
      <c r="H36" s="23" t="str">
        <f t="shared" si="4"/>
        <v>-</v>
      </c>
      <c r="I36" s="23" t="str">
        <f t="shared" si="4"/>
        <v>-</v>
      </c>
      <c r="J36" s="23" t="str">
        <f t="shared" si="4"/>
        <v>-</v>
      </c>
      <c r="K36" s="23" t="str">
        <f t="shared" si="4"/>
        <v>-</v>
      </c>
      <c r="L36" s="24">
        <f>299994+585423</f>
        <v>885417</v>
      </c>
      <c r="M36" s="24"/>
      <c r="N36" s="24">
        <f>289270+510674+499698+324081+302335</f>
        <v>1926058</v>
      </c>
      <c r="O36" s="24">
        <f>230733+51251+278228</f>
        <v>560212</v>
      </c>
      <c r="P36" s="13">
        <f t="shared" si="5"/>
        <v>3371687</v>
      </c>
      <c r="Q36" s="24"/>
      <c r="R36" s="24"/>
      <c r="S36" s="24"/>
      <c r="T36" s="24"/>
      <c r="U36" s="24">
        <f t="shared" si="6"/>
        <v>0</v>
      </c>
    </row>
    <row r="37" spans="1:23" x14ac:dyDescent="0.25">
      <c r="A37" s="10" t="s">
        <v>22</v>
      </c>
      <c r="B37" s="23" t="str">
        <f t="shared" si="2"/>
        <v>-</v>
      </c>
      <c r="C37" s="23" t="str">
        <f t="shared" si="2"/>
        <v>-</v>
      </c>
      <c r="D37" s="23">
        <f t="shared" si="2"/>
        <v>1.3175674133593374E-2</v>
      </c>
      <c r="E37" s="23">
        <f t="shared" si="2"/>
        <v>1.7293930253518903E-2</v>
      </c>
      <c r="F37" s="23">
        <f t="shared" si="3"/>
        <v>3.0469604387112277E-2</v>
      </c>
      <c r="G37" s="23" t="str">
        <f t="shared" si="4"/>
        <v>-</v>
      </c>
      <c r="H37" s="23" t="str">
        <f t="shared" si="4"/>
        <v>-</v>
      </c>
      <c r="I37" s="23">
        <f t="shared" si="4"/>
        <v>3.8773156429351537E-2</v>
      </c>
      <c r="J37" s="23">
        <f t="shared" si="4"/>
        <v>4.4657783880686509E-2</v>
      </c>
      <c r="K37" s="23">
        <f t="shared" si="4"/>
        <v>8.3430940310038046E-2</v>
      </c>
      <c r="L37" s="24"/>
      <c r="M37" s="24"/>
      <c r="N37" s="24">
        <f>31118+222045+195208+141109+62237</f>
        <v>651717</v>
      </c>
      <c r="O37" s="24">
        <f>52081+287854+248308+156377+110801</f>
        <v>855421</v>
      </c>
      <c r="P37" s="13">
        <f t="shared" si="5"/>
        <v>1507138</v>
      </c>
      <c r="Q37" s="24"/>
      <c r="R37" s="24"/>
      <c r="S37" s="24">
        <v>1186</v>
      </c>
      <c r="T37" s="24">
        <v>1366</v>
      </c>
      <c r="U37" s="24">
        <f t="shared" si="6"/>
        <v>2552</v>
      </c>
    </row>
    <row r="38" spans="1:23" x14ac:dyDescent="0.25">
      <c r="A38" s="10" t="s">
        <v>53</v>
      </c>
      <c r="B38" s="23" t="str">
        <f t="shared" si="2"/>
        <v>-</v>
      </c>
      <c r="C38" s="23" t="str">
        <f t="shared" si="2"/>
        <v>-</v>
      </c>
      <c r="D38" s="23">
        <f t="shared" si="2"/>
        <v>4.5444074019421301E-3</v>
      </c>
      <c r="E38" s="23">
        <f t="shared" si="2"/>
        <v>6.3658862223724124E-3</v>
      </c>
      <c r="F38" s="23">
        <f t="shared" si="3"/>
        <v>1.0910293624314542E-2</v>
      </c>
      <c r="G38" s="23" t="str">
        <f t="shared" si="4"/>
        <v>-</v>
      </c>
      <c r="H38" s="23" t="str">
        <f t="shared" si="4"/>
        <v>-</v>
      </c>
      <c r="I38" s="23" t="str">
        <f t="shared" si="4"/>
        <v>-</v>
      </c>
      <c r="J38" s="23" t="str">
        <f t="shared" si="4"/>
        <v>-</v>
      </c>
      <c r="K38" s="23" t="str">
        <f t="shared" si="4"/>
        <v>-</v>
      </c>
      <c r="L38" s="24"/>
      <c r="M38" s="24"/>
      <c r="N38" s="24">
        <v>224783</v>
      </c>
      <c r="O38" s="24">
        <v>314880</v>
      </c>
      <c r="P38" s="13">
        <f t="shared" si="5"/>
        <v>539663</v>
      </c>
      <c r="Q38" s="24"/>
      <c r="R38" s="24"/>
      <c r="S38" s="24"/>
      <c r="T38" s="24"/>
      <c r="U38" s="24">
        <f t="shared" si="6"/>
        <v>0</v>
      </c>
    </row>
    <row r="39" spans="1:23" x14ac:dyDescent="0.25">
      <c r="A39" s="10" t="s">
        <v>23</v>
      </c>
      <c r="B39" s="23" t="str">
        <f t="shared" si="2"/>
        <v>-</v>
      </c>
      <c r="C39" s="23" t="str">
        <f t="shared" si="2"/>
        <v>-</v>
      </c>
      <c r="D39" s="23">
        <f t="shared" si="2"/>
        <v>3.918028296162899E-4</v>
      </c>
      <c r="E39" s="23">
        <f t="shared" si="2"/>
        <v>1.0109240811214117E-3</v>
      </c>
      <c r="F39" s="23">
        <f t="shared" si="3"/>
        <v>1.4027269107377016E-3</v>
      </c>
      <c r="G39" s="23" t="str">
        <f t="shared" si="4"/>
        <v>-</v>
      </c>
      <c r="H39" s="23" t="str">
        <f t="shared" si="4"/>
        <v>-</v>
      </c>
      <c r="I39" s="23" t="str">
        <f t="shared" si="4"/>
        <v>-</v>
      </c>
      <c r="J39" s="23" t="str">
        <f t="shared" si="4"/>
        <v>-</v>
      </c>
      <c r="K39" s="23" t="str">
        <f t="shared" si="4"/>
        <v>-</v>
      </c>
      <c r="L39" s="24"/>
      <c r="M39" s="24"/>
      <c r="N39" s="24">
        <f>11460+7920</f>
        <v>19380</v>
      </c>
      <c r="O39" s="24">
        <v>50004</v>
      </c>
      <c r="P39" s="13">
        <f t="shared" si="5"/>
        <v>69384</v>
      </c>
      <c r="Q39" s="24"/>
      <c r="R39" s="24"/>
      <c r="S39" s="24"/>
      <c r="T39" s="24"/>
      <c r="U39" s="24">
        <f t="shared" si="6"/>
        <v>0</v>
      </c>
    </row>
    <row r="40" spans="1:23" x14ac:dyDescent="0.25">
      <c r="A40" s="10" t="s">
        <v>24</v>
      </c>
      <c r="B40" s="23">
        <f t="shared" si="2"/>
        <v>6.9997051342042139E-3</v>
      </c>
      <c r="C40" s="23" t="str">
        <f t="shared" si="2"/>
        <v>-</v>
      </c>
      <c r="D40" s="23">
        <f t="shared" si="2"/>
        <v>1.4456210316663333E-2</v>
      </c>
      <c r="E40" s="23">
        <f t="shared" si="2"/>
        <v>3.858954618756356E-3</v>
      </c>
      <c r="F40" s="23">
        <f t="shared" si="3"/>
        <v>2.5314870069623904E-2</v>
      </c>
      <c r="G40" s="23" t="str">
        <f t="shared" si="4"/>
        <v>-</v>
      </c>
      <c r="H40" s="23" t="str">
        <f t="shared" si="4"/>
        <v>-</v>
      </c>
      <c r="I40" s="23" t="str">
        <f t="shared" si="4"/>
        <v>-</v>
      </c>
      <c r="J40" s="23" t="str">
        <f t="shared" si="4"/>
        <v>-</v>
      </c>
      <c r="K40" s="23" t="str">
        <f t="shared" si="4"/>
        <v>-</v>
      </c>
      <c r="L40" s="24">
        <v>346231</v>
      </c>
      <c r="M40" s="24"/>
      <c r="N40" s="24">
        <f>671835+43222</f>
        <v>715057</v>
      </c>
      <c r="O40" s="24">
        <f>139962+50916</f>
        <v>190878</v>
      </c>
      <c r="P40" s="13">
        <f t="shared" si="5"/>
        <v>1252166</v>
      </c>
      <c r="Q40" s="24"/>
      <c r="R40" s="24"/>
      <c r="S40" s="24"/>
      <c r="T40" s="24"/>
      <c r="U40" s="24">
        <f t="shared" si="6"/>
        <v>0</v>
      </c>
    </row>
    <row r="41" spans="1:23" x14ac:dyDescent="0.25">
      <c r="A41" s="10" t="s">
        <v>56</v>
      </c>
      <c r="B41" s="23">
        <f t="shared" si="2"/>
        <v>4.8095111431577346E-3</v>
      </c>
      <c r="C41" s="23" t="str">
        <f t="shared" si="2"/>
        <v>-</v>
      </c>
      <c r="D41" s="23">
        <f t="shared" si="2"/>
        <v>2.754626603005934E-2</v>
      </c>
      <c r="E41" s="23">
        <f t="shared" si="2"/>
        <v>1.2067648453367367E-3</v>
      </c>
      <c r="F41" s="23">
        <f t="shared" si="3"/>
        <v>3.3562542018553812E-2</v>
      </c>
      <c r="G41" s="23">
        <f t="shared" si="4"/>
        <v>1.2963638121042564E-2</v>
      </c>
      <c r="H41" s="23" t="str">
        <f t="shared" si="4"/>
        <v>-</v>
      </c>
      <c r="I41" s="23">
        <f t="shared" si="4"/>
        <v>1.947283938056955E-2</v>
      </c>
      <c r="J41" s="23">
        <f t="shared" si="4"/>
        <v>3.5961612202602606E-3</v>
      </c>
      <c r="K41" s="23">
        <f t="shared" si="4"/>
        <v>3.603263872187238E-2</v>
      </c>
      <c r="L41" s="24">
        <v>237896</v>
      </c>
      <c r="M41" s="24"/>
      <c r="N41" s="24">
        <f>873595+268692+111352+108900</f>
        <v>1362539</v>
      </c>
      <c r="O41" s="24">
        <f>9315+42066+8310</f>
        <v>59691</v>
      </c>
      <c r="P41" s="13">
        <f t="shared" si="5"/>
        <v>1660126</v>
      </c>
      <c r="Q41" s="24">
        <v>396.53399999999999</v>
      </c>
      <c r="R41" s="24"/>
      <c r="S41" s="24">
        <v>595.63857142857159</v>
      </c>
      <c r="T41" s="24">
        <v>110</v>
      </c>
      <c r="U41" s="24">
        <f t="shared" si="6"/>
        <v>1102.1725714285717</v>
      </c>
    </row>
    <row r="42" spans="1:23" x14ac:dyDescent="0.25">
      <c r="A42" s="10" t="s">
        <v>25</v>
      </c>
      <c r="B42" s="23" t="str">
        <f t="shared" si="2"/>
        <v>-</v>
      </c>
      <c r="C42" s="23" t="str">
        <f t="shared" si="2"/>
        <v>-</v>
      </c>
      <c r="D42" s="23">
        <f t="shared" si="2"/>
        <v>8.7409634371980963E-3</v>
      </c>
      <c r="E42" s="23">
        <f t="shared" si="2"/>
        <v>1.0396138332116325E-2</v>
      </c>
      <c r="F42" s="23">
        <f t="shared" si="3"/>
        <v>1.9137101769314421E-2</v>
      </c>
      <c r="G42" s="23" t="str">
        <f t="shared" si="4"/>
        <v>-</v>
      </c>
      <c r="H42" s="23" t="str">
        <f t="shared" si="4"/>
        <v>-</v>
      </c>
      <c r="I42" s="23" t="str">
        <f t="shared" si="4"/>
        <v>-</v>
      </c>
      <c r="J42" s="23" t="str">
        <f t="shared" si="4"/>
        <v>-</v>
      </c>
      <c r="K42" s="23" t="str">
        <f t="shared" si="4"/>
        <v>-</v>
      </c>
      <c r="L42" s="24"/>
      <c r="M42" s="24"/>
      <c r="N42" s="24">
        <v>432360</v>
      </c>
      <c r="O42" s="24">
        <v>514231</v>
      </c>
      <c r="P42" s="13">
        <f t="shared" si="5"/>
        <v>946591</v>
      </c>
      <c r="Q42" s="24"/>
      <c r="R42" s="24"/>
      <c r="S42" s="24"/>
      <c r="T42" s="24"/>
      <c r="U42" s="24">
        <f t="shared" si="6"/>
        <v>0</v>
      </c>
    </row>
    <row r="43" spans="1:23" x14ac:dyDescent="0.25">
      <c r="A43" s="10" t="s">
        <v>31</v>
      </c>
      <c r="B43" s="23">
        <f t="shared" si="2"/>
        <v>1.343315611697795E-2</v>
      </c>
      <c r="C43" s="23" t="str">
        <f t="shared" si="2"/>
        <v>-</v>
      </c>
      <c r="D43" s="23">
        <f t="shared" si="2"/>
        <v>1.0908554973987041E-2</v>
      </c>
      <c r="E43" s="23">
        <f t="shared" si="2"/>
        <v>1.2917221740723682E-2</v>
      </c>
      <c r="F43" s="23">
        <f t="shared" si="3"/>
        <v>3.7258932831688671E-2</v>
      </c>
      <c r="G43" s="23" t="str">
        <f t="shared" si="4"/>
        <v>-</v>
      </c>
      <c r="H43" s="23" t="str">
        <f t="shared" si="4"/>
        <v>-</v>
      </c>
      <c r="I43" s="23" t="str">
        <f t="shared" si="4"/>
        <v>-</v>
      </c>
      <c r="J43" s="23" t="str">
        <f t="shared" si="4"/>
        <v>-</v>
      </c>
      <c r="K43" s="23" t="str">
        <f t="shared" si="4"/>
        <v>-</v>
      </c>
      <c r="L43" s="24">
        <f>530370+134083</f>
        <v>664453</v>
      </c>
      <c r="M43" s="24"/>
      <c r="N43" s="24">
        <v>539577</v>
      </c>
      <c r="O43" s="24">
        <v>638933</v>
      </c>
      <c r="P43" s="13">
        <f t="shared" si="5"/>
        <v>1842963</v>
      </c>
      <c r="Q43" s="24"/>
      <c r="R43" s="24"/>
      <c r="S43" s="24"/>
      <c r="T43" s="24"/>
      <c r="U43" s="24">
        <f t="shared" si="6"/>
        <v>0</v>
      </c>
    </row>
    <row r="44" spans="1:23" x14ac:dyDescent="0.25">
      <c r="A44" s="10" t="s">
        <v>26</v>
      </c>
      <c r="B44" s="23" t="str">
        <f t="shared" si="2"/>
        <v>-</v>
      </c>
      <c r="C44" s="23" t="str">
        <f t="shared" si="2"/>
        <v>-</v>
      </c>
      <c r="D44" s="23">
        <f t="shared" si="2"/>
        <v>1.8117444002826947E-2</v>
      </c>
      <c r="E44" s="23">
        <f t="shared" si="2"/>
        <v>1.0285269048441622E-2</v>
      </c>
      <c r="F44" s="23">
        <f t="shared" si="3"/>
        <v>2.8402713051268569E-2</v>
      </c>
      <c r="G44" s="23" t="str">
        <f t="shared" si="4"/>
        <v>-</v>
      </c>
      <c r="H44" s="23" t="str">
        <f t="shared" si="4"/>
        <v>-</v>
      </c>
      <c r="I44" s="23" t="str">
        <f t="shared" si="4"/>
        <v>-</v>
      </c>
      <c r="J44" s="23" t="str">
        <f t="shared" si="4"/>
        <v>-</v>
      </c>
      <c r="K44" s="23" t="str">
        <f t="shared" si="4"/>
        <v>-</v>
      </c>
      <c r="L44" s="24"/>
      <c r="M44" s="24"/>
      <c r="N44" s="24">
        <f>338774+517253+40128</f>
        <v>896155</v>
      </c>
      <c r="O44" s="24">
        <f>495753+12994</f>
        <v>508747</v>
      </c>
      <c r="P44" s="13">
        <f t="shared" si="5"/>
        <v>1404902</v>
      </c>
      <c r="Q44" s="24"/>
      <c r="R44" s="24"/>
      <c r="S44" s="24"/>
      <c r="T44" s="24"/>
      <c r="U44" s="24">
        <f t="shared" si="6"/>
        <v>0</v>
      </c>
    </row>
    <row r="45" spans="1:23" x14ac:dyDescent="0.25">
      <c r="A45" s="10" t="s">
        <v>55</v>
      </c>
      <c r="B45" s="23" t="str">
        <f t="shared" si="2"/>
        <v>-</v>
      </c>
      <c r="C45" s="23" t="str">
        <f t="shared" si="2"/>
        <v>-</v>
      </c>
      <c r="D45" s="23">
        <f t="shared" si="2"/>
        <v>9.4224739318505787E-4</v>
      </c>
      <c r="E45" s="23">
        <f t="shared" si="2"/>
        <v>2.5119453859558317E-4</v>
      </c>
      <c r="F45" s="23">
        <f t="shared" si="3"/>
        <v>1.1934419317806411E-3</v>
      </c>
      <c r="G45" s="23" t="str">
        <f t="shared" si="4"/>
        <v>-</v>
      </c>
      <c r="H45" s="23" t="str">
        <f t="shared" si="4"/>
        <v>-</v>
      </c>
      <c r="I45" s="23" t="str">
        <f t="shared" si="4"/>
        <v>-</v>
      </c>
      <c r="J45" s="23" t="str">
        <f t="shared" si="4"/>
        <v>-</v>
      </c>
      <c r="K45" s="23" t="str">
        <f t="shared" si="4"/>
        <v>-</v>
      </c>
      <c r="L45" s="24"/>
      <c r="M45" s="24"/>
      <c r="N45" s="24">
        <v>46607</v>
      </c>
      <c r="O45" s="24">
        <v>12425</v>
      </c>
      <c r="P45" s="13">
        <f t="shared" si="5"/>
        <v>59032</v>
      </c>
      <c r="Q45" s="24"/>
      <c r="R45" s="24"/>
      <c r="S45" s="24"/>
      <c r="T45" s="24"/>
      <c r="U45" s="24">
        <f t="shared" si="6"/>
        <v>0</v>
      </c>
    </row>
    <row r="46" spans="1:23" x14ac:dyDescent="0.25">
      <c r="A46" s="10" t="s">
        <v>27</v>
      </c>
      <c r="B46" s="23" t="str">
        <f t="shared" si="2"/>
        <v>-</v>
      </c>
      <c r="C46" s="23" t="str">
        <f t="shared" si="2"/>
        <v>-</v>
      </c>
      <c r="D46" s="23">
        <f t="shared" si="2"/>
        <v>1.0626792536610249E-3</v>
      </c>
      <c r="E46" s="23">
        <f t="shared" si="2"/>
        <v>3.4954958328512137E-3</v>
      </c>
      <c r="F46" s="23">
        <f t="shared" si="3"/>
        <v>4.5581750865122386E-3</v>
      </c>
      <c r="G46" s="23" t="str">
        <f t="shared" si="4"/>
        <v>-</v>
      </c>
      <c r="H46" s="23" t="str">
        <f t="shared" si="4"/>
        <v>-</v>
      </c>
      <c r="I46" s="23" t="str">
        <f t="shared" si="4"/>
        <v>-</v>
      </c>
      <c r="J46" s="23" t="str">
        <f t="shared" si="4"/>
        <v>-</v>
      </c>
      <c r="K46" s="23" t="str">
        <f t="shared" si="4"/>
        <v>-</v>
      </c>
      <c r="L46" s="24"/>
      <c r="M46" s="24"/>
      <c r="N46" s="24">
        <v>52564</v>
      </c>
      <c r="O46" s="24">
        <v>172900</v>
      </c>
      <c r="P46" s="13">
        <f t="shared" si="5"/>
        <v>225464</v>
      </c>
      <c r="Q46" s="24"/>
      <c r="R46" s="24"/>
      <c r="S46" s="24"/>
      <c r="T46" s="24"/>
      <c r="U46" s="24">
        <f t="shared" si="6"/>
        <v>0</v>
      </c>
    </row>
    <row r="47" spans="1:23" x14ac:dyDescent="0.25">
      <c r="A47" s="10" t="s">
        <v>32</v>
      </c>
      <c r="B47" s="23" t="str">
        <f t="shared" si="2"/>
        <v>-</v>
      </c>
      <c r="C47" s="23" t="str">
        <f t="shared" si="2"/>
        <v>-</v>
      </c>
      <c r="D47" s="23">
        <f t="shared" si="2"/>
        <v>2.7253546052246427E-3</v>
      </c>
      <c r="E47" s="23">
        <f t="shared" si="2"/>
        <v>1.4985952811216257E-3</v>
      </c>
      <c r="F47" s="23">
        <f t="shared" si="3"/>
        <v>4.2239498863462684E-3</v>
      </c>
      <c r="G47" s="23" t="str">
        <f t="shared" si="4"/>
        <v>-</v>
      </c>
      <c r="H47" s="23" t="str">
        <f t="shared" si="4"/>
        <v>-</v>
      </c>
      <c r="I47" s="23" t="str">
        <f t="shared" si="4"/>
        <v>-</v>
      </c>
      <c r="J47" s="23" t="str">
        <f t="shared" si="4"/>
        <v>-</v>
      </c>
      <c r="K47" s="23" t="str">
        <f t="shared" si="4"/>
        <v>-</v>
      </c>
      <c r="L47" s="24"/>
      <c r="M47" s="24"/>
      <c r="N47" s="24">
        <v>134806</v>
      </c>
      <c r="O47" s="24">
        <v>74126</v>
      </c>
      <c r="P47" s="13">
        <f t="shared" si="5"/>
        <v>208932</v>
      </c>
      <c r="Q47" s="24"/>
      <c r="R47" s="24"/>
      <c r="S47" s="24"/>
      <c r="T47" s="24"/>
      <c r="U47" s="24">
        <f t="shared" si="6"/>
        <v>0</v>
      </c>
    </row>
    <row r="48" spans="1:23" x14ac:dyDescent="0.25">
      <c r="A48" s="10" t="s">
        <v>28</v>
      </c>
      <c r="B48" s="23" t="str">
        <f t="shared" si="2"/>
        <v>-</v>
      </c>
      <c r="C48" s="23" t="str">
        <f t="shared" si="2"/>
        <v>-</v>
      </c>
      <c r="D48" s="23">
        <f t="shared" si="2"/>
        <v>8.830625230250121E-3</v>
      </c>
      <c r="E48" s="23">
        <f t="shared" si="2"/>
        <v>9.5766275219343871E-3</v>
      </c>
      <c r="F48" s="23">
        <f t="shared" si="3"/>
        <v>1.8407252752184508E-2</v>
      </c>
      <c r="G48" s="23" t="str">
        <f t="shared" si="4"/>
        <v>-</v>
      </c>
      <c r="H48" s="23" t="str">
        <f t="shared" si="4"/>
        <v>-</v>
      </c>
      <c r="I48" s="23" t="str">
        <f t="shared" si="4"/>
        <v>-</v>
      </c>
      <c r="J48" s="23" t="str">
        <f t="shared" si="4"/>
        <v>-</v>
      </c>
      <c r="K48" s="23" t="str">
        <f t="shared" si="4"/>
        <v>-</v>
      </c>
      <c r="L48" s="24"/>
      <c r="M48" s="24"/>
      <c r="N48" s="24">
        <f>336895+99900</f>
        <v>436795</v>
      </c>
      <c r="O48" s="24">
        <v>473695</v>
      </c>
      <c r="P48" s="13">
        <f t="shared" si="5"/>
        <v>910490</v>
      </c>
      <c r="Q48" s="24"/>
      <c r="R48" s="24"/>
      <c r="S48" s="24"/>
      <c r="T48" s="24"/>
      <c r="U48" s="24">
        <f t="shared" si="6"/>
        <v>0</v>
      </c>
    </row>
    <row r="49" spans="1:257" x14ac:dyDescent="0.25">
      <c r="A49" s="16" t="s">
        <v>0</v>
      </c>
      <c r="B49" s="23">
        <f>SUM(B8:B48)</f>
        <v>0.13822684549363495</v>
      </c>
      <c r="C49" s="23">
        <f t="shared" ref="C49:D49" si="7">SUM(C8:C48)</f>
        <v>1.2312070342431401E-2</v>
      </c>
      <c r="D49" s="23">
        <f t="shared" si="7"/>
        <v>0.55912216735333364</v>
      </c>
      <c r="E49" s="23">
        <f>SUM(E8:E48)</f>
        <v>0.29033891681059998</v>
      </c>
      <c r="F49" s="23">
        <f>SUM(F8:F48)</f>
        <v>0.99999999999999989</v>
      </c>
      <c r="G49" s="23">
        <f>SUM(G8:G48)</f>
        <v>0.14455044640783846</v>
      </c>
      <c r="H49" s="23">
        <f t="shared" ref="H49:I49" si="8">SUM(H8:H48)</f>
        <v>2.5271205666010741E-2</v>
      </c>
      <c r="I49" s="23">
        <f t="shared" si="8"/>
        <v>0.52090848298376835</v>
      </c>
      <c r="J49" s="23">
        <f>SUM(J8:J48)</f>
        <v>0.3092698649423824</v>
      </c>
      <c r="K49" s="23">
        <f>SUM(K8:K48)</f>
        <v>1</v>
      </c>
      <c r="L49" s="24">
        <f>SUM(L8:L48)</f>
        <v>6837205</v>
      </c>
      <c r="M49" s="24">
        <f t="shared" ref="M49:O49" si="9">SUM(M8:M48)</f>
        <v>609000</v>
      </c>
      <c r="N49" s="24">
        <f t="shared" si="9"/>
        <v>27656226</v>
      </c>
      <c r="O49" s="24">
        <f t="shared" si="9"/>
        <v>14361224.02</v>
      </c>
      <c r="P49" s="24">
        <f>SUM(L49:O49)</f>
        <v>49463655.019999996</v>
      </c>
      <c r="Q49" s="24">
        <f>SUM(Q8:Q48)</f>
        <v>4421.5339999999997</v>
      </c>
      <c r="R49" s="24">
        <f t="shared" ref="R49:T49" si="10">SUM(R8:R48)</f>
        <v>773</v>
      </c>
      <c r="S49" s="24">
        <f t="shared" si="10"/>
        <v>15933.638571428572</v>
      </c>
      <c r="T49" s="24">
        <f t="shared" si="10"/>
        <v>9460</v>
      </c>
      <c r="U49" s="24">
        <f t="shared" si="6"/>
        <v>30588.172571428571</v>
      </c>
    </row>
    <row r="51" spans="1:257" x14ac:dyDescent="0.25">
      <c r="A51" s="17" t="s">
        <v>46</v>
      </c>
      <c r="B51" s="3" t="s">
        <v>57</v>
      </c>
    </row>
    <row r="52" spans="1:257" x14ac:dyDescent="0.25">
      <c r="B52" s="2" t="s">
        <v>59</v>
      </c>
    </row>
    <row r="53" spans="1:257" x14ac:dyDescent="0.25">
      <c r="B53" s="2" t="s">
        <v>58</v>
      </c>
    </row>
    <row r="57" spans="1:257" ht="16.5" x14ac:dyDescent="0.25">
      <c r="A57" s="19" t="s">
        <v>76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5"/>
      <c r="DO57" s="25"/>
      <c r="DP57" s="25"/>
      <c r="DQ57" s="25"/>
      <c r="DR57" s="25"/>
      <c r="DS57" s="25"/>
      <c r="DT57" s="25"/>
      <c r="DU57" s="25"/>
      <c r="DV57" s="25"/>
      <c r="DW57" s="25"/>
      <c r="DX57" s="25"/>
      <c r="DY57" s="25"/>
      <c r="DZ57" s="25"/>
      <c r="EA57" s="25"/>
      <c r="EB57" s="25"/>
      <c r="EC57" s="25"/>
      <c r="ED57" s="25"/>
      <c r="EE57" s="25"/>
      <c r="EF57" s="25"/>
      <c r="EG57" s="25"/>
      <c r="EH57" s="25"/>
      <c r="EI57" s="25"/>
      <c r="EJ57" s="25"/>
      <c r="EK57" s="25"/>
      <c r="EL57" s="25"/>
      <c r="EM57" s="25"/>
      <c r="EN57" s="25"/>
      <c r="EO57" s="25"/>
      <c r="EP57" s="25"/>
      <c r="EQ57" s="25"/>
      <c r="ER57" s="25"/>
      <c r="ES57" s="25"/>
      <c r="ET57" s="25"/>
      <c r="EU57" s="25"/>
      <c r="EV57" s="25"/>
      <c r="EW57" s="25"/>
      <c r="EX57" s="25"/>
      <c r="EY57" s="25"/>
      <c r="EZ57" s="25"/>
      <c r="FA57" s="25"/>
      <c r="FB57" s="25"/>
      <c r="FC57" s="25"/>
      <c r="FD57" s="25"/>
      <c r="FE57" s="25"/>
      <c r="FF57" s="25"/>
      <c r="FG57" s="25"/>
      <c r="FH57" s="25"/>
      <c r="FI57" s="25"/>
      <c r="FJ57" s="25"/>
      <c r="FK57" s="25"/>
      <c r="FL57" s="25"/>
      <c r="FM57" s="25"/>
      <c r="FN57" s="25"/>
      <c r="FO57" s="25"/>
      <c r="FP57" s="25"/>
      <c r="FQ57" s="25"/>
      <c r="FR57" s="25"/>
      <c r="FS57" s="25"/>
      <c r="FT57" s="25"/>
      <c r="FU57" s="25"/>
      <c r="FV57" s="25"/>
      <c r="FW57" s="25"/>
      <c r="FX57" s="25"/>
      <c r="FY57" s="25"/>
      <c r="FZ57" s="25"/>
      <c r="GA57" s="25"/>
      <c r="GB57" s="25"/>
      <c r="GC57" s="25"/>
      <c r="GD57" s="25"/>
      <c r="GE57" s="25"/>
      <c r="GF57" s="25"/>
      <c r="GG57" s="25"/>
      <c r="GH57" s="25"/>
      <c r="GI57" s="25"/>
      <c r="GJ57" s="25"/>
      <c r="GK57" s="25"/>
      <c r="GL57" s="25"/>
      <c r="GM57" s="25"/>
      <c r="GN57" s="25"/>
      <c r="GO57" s="25"/>
      <c r="GP57" s="25"/>
      <c r="GQ57" s="25"/>
      <c r="GR57" s="25"/>
      <c r="GS57" s="25"/>
      <c r="GT57" s="25"/>
      <c r="GU57" s="25"/>
      <c r="GV57" s="25"/>
      <c r="GW57" s="25"/>
      <c r="GX57" s="25"/>
      <c r="GY57" s="25"/>
      <c r="GZ57" s="25"/>
      <c r="HA57" s="25"/>
      <c r="HB57" s="25"/>
      <c r="HC57" s="25"/>
      <c r="HD57" s="25"/>
      <c r="HE57" s="25"/>
      <c r="HF57" s="25"/>
      <c r="HG57" s="25"/>
      <c r="HH57" s="25"/>
      <c r="HI57" s="25"/>
      <c r="HJ57" s="25"/>
      <c r="HK57" s="25"/>
      <c r="HL57" s="25"/>
      <c r="HM57" s="25"/>
      <c r="HN57" s="25"/>
      <c r="HO57" s="25"/>
      <c r="HP57" s="25"/>
      <c r="HQ57" s="25"/>
      <c r="HR57" s="25"/>
      <c r="HS57" s="25"/>
      <c r="HT57" s="25"/>
      <c r="HU57" s="25"/>
      <c r="HV57" s="25"/>
      <c r="HW57" s="25"/>
      <c r="HX57" s="25"/>
      <c r="HY57" s="25"/>
      <c r="HZ57" s="25"/>
      <c r="IA57" s="25"/>
      <c r="IB57" s="25"/>
      <c r="IC57" s="25"/>
      <c r="ID57" s="25"/>
      <c r="IE57" s="25"/>
      <c r="IF57" s="25"/>
      <c r="IG57" s="25"/>
      <c r="IH57" s="25"/>
      <c r="II57" s="25"/>
      <c r="IJ57" s="25"/>
      <c r="IK57" s="25"/>
      <c r="IL57" s="25"/>
      <c r="IM57" s="25"/>
      <c r="IN57" s="25"/>
      <c r="IO57" s="25"/>
      <c r="IP57" s="25"/>
      <c r="IQ57" s="25"/>
      <c r="IR57" s="25"/>
      <c r="IS57" s="25"/>
      <c r="IT57" s="25"/>
      <c r="IU57" s="25"/>
      <c r="IV57" s="25"/>
      <c r="IW57" s="25"/>
    </row>
    <row r="58" spans="1:257" ht="16.5" x14ac:dyDescent="0.25">
      <c r="A58" s="19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5"/>
      <c r="DB58" s="25"/>
      <c r="DC58" s="25"/>
      <c r="DD58" s="25"/>
      <c r="DE58" s="25"/>
      <c r="DF58" s="25"/>
      <c r="DG58" s="25"/>
      <c r="DH58" s="25"/>
      <c r="DI58" s="25"/>
      <c r="DJ58" s="25"/>
      <c r="DK58" s="25"/>
      <c r="DL58" s="25"/>
      <c r="DM58" s="25"/>
      <c r="DN58" s="25"/>
      <c r="DO58" s="25"/>
      <c r="DP58" s="25"/>
      <c r="DQ58" s="25"/>
      <c r="DR58" s="25"/>
      <c r="DS58" s="25"/>
      <c r="DT58" s="25"/>
      <c r="DU58" s="25"/>
      <c r="DV58" s="25"/>
      <c r="DW58" s="25"/>
      <c r="DX58" s="25"/>
      <c r="DY58" s="25"/>
      <c r="DZ58" s="25"/>
      <c r="EA58" s="25"/>
      <c r="EB58" s="25"/>
      <c r="EC58" s="25"/>
      <c r="ED58" s="25"/>
      <c r="EE58" s="25"/>
      <c r="EF58" s="25"/>
      <c r="EG58" s="25"/>
      <c r="EH58" s="25"/>
      <c r="EI58" s="25"/>
      <c r="EJ58" s="25"/>
      <c r="EK58" s="25"/>
      <c r="EL58" s="25"/>
      <c r="EM58" s="25"/>
      <c r="EN58" s="25"/>
      <c r="EO58" s="25"/>
      <c r="EP58" s="25"/>
      <c r="EQ58" s="25"/>
      <c r="ER58" s="25"/>
      <c r="ES58" s="25"/>
      <c r="ET58" s="25"/>
      <c r="EU58" s="25"/>
      <c r="EV58" s="25"/>
      <c r="EW58" s="25"/>
      <c r="EX58" s="25"/>
      <c r="EY58" s="25"/>
      <c r="EZ58" s="25"/>
      <c r="FA58" s="25"/>
      <c r="FB58" s="25"/>
      <c r="FC58" s="25"/>
      <c r="FD58" s="25"/>
      <c r="FE58" s="25"/>
      <c r="FF58" s="25"/>
      <c r="FG58" s="25"/>
      <c r="FH58" s="25"/>
      <c r="FI58" s="25"/>
      <c r="FJ58" s="25"/>
      <c r="FK58" s="25"/>
      <c r="FL58" s="25"/>
      <c r="FM58" s="25"/>
      <c r="FN58" s="25"/>
      <c r="FO58" s="25"/>
      <c r="FP58" s="25"/>
      <c r="FQ58" s="25"/>
      <c r="FR58" s="25"/>
      <c r="FS58" s="25"/>
      <c r="FT58" s="25"/>
      <c r="FU58" s="25"/>
      <c r="FV58" s="25"/>
      <c r="FW58" s="25"/>
      <c r="FX58" s="25"/>
      <c r="FY58" s="25"/>
      <c r="FZ58" s="25"/>
      <c r="GA58" s="25"/>
      <c r="GB58" s="25"/>
      <c r="GC58" s="25"/>
      <c r="GD58" s="25"/>
      <c r="GE58" s="25"/>
      <c r="GF58" s="25"/>
      <c r="GG58" s="25"/>
      <c r="GH58" s="25"/>
      <c r="GI58" s="25"/>
      <c r="GJ58" s="25"/>
      <c r="GK58" s="25"/>
      <c r="GL58" s="25"/>
      <c r="GM58" s="25"/>
      <c r="GN58" s="25"/>
      <c r="GO58" s="25"/>
      <c r="GP58" s="25"/>
      <c r="GQ58" s="25"/>
      <c r="GR58" s="25"/>
      <c r="GS58" s="25"/>
      <c r="GT58" s="25"/>
      <c r="GU58" s="25"/>
      <c r="GV58" s="25"/>
      <c r="GW58" s="25"/>
      <c r="GX58" s="25"/>
      <c r="GY58" s="25"/>
      <c r="GZ58" s="25"/>
      <c r="HA58" s="25"/>
      <c r="HB58" s="25"/>
      <c r="HC58" s="25"/>
      <c r="HD58" s="25"/>
      <c r="HE58" s="25"/>
      <c r="HF58" s="25"/>
      <c r="HG58" s="25"/>
      <c r="HH58" s="25"/>
      <c r="HI58" s="25"/>
      <c r="HJ58" s="25"/>
      <c r="HK58" s="25"/>
      <c r="HL58" s="25"/>
      <c r="HM58" s="25"/>
      <c r="HN58" s="25"/>
      <c r="HO58" s="25"/>
      <c r="HP58" s="25"/>
      <c r="HQ58" s="25"/>
      <c r="HR58" s="25"/>
      <c r="HS58" s="25"/>
      <c r="HT58" s="25"/>
      <c r="HU58" s="25"/>
      <c r="HV58" s="25"/>
      <c r="HW58" s="25"/>
      <c r="HX58" s="25"/>
      <c r="HY58" s="25"/>
      <c r="HZ58" s="25"/>
      <c r="IA58" s="25"/>
      <c r="IB58" s="25"/>
      <c r="IC58" s="25"/>
      <c r="ID58" s="25"/>
      <c r="IE58" s="25"/>
      <c r="IF58" s="25"/>
      <c r="IG58" s="25"/>
      <c r="IH58" s="25"/>
      <c r="II58" s="25"/>
      <c r="IJ58" s="25"/>
      <c r="IK58" s="25"/>
      <c r="IL58" s="25"/>
      <c r="IM58" s="25"/>
      <c r="IN58" s="25"/>
      <c r="IO58" s="25"/>
      <c r="IP58" s="25"/>
      <c r="IQ58" s="25"/>
      <c r="IR58" s="25"/>
      <c r="IS58" s="25"/>
      <c r="IT58" s="25"/>
      <c r="IU58" s="25"/>
      <c r="IV58" s="25"/>
      <c r="IW58" s="25"/>
    </row>
    <row r="59" spans="1:257" ht="16.5" x14ac:dyDescent="0.25">
      <c r="A59" s="19" t="s">
        <v>77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  <c r="DO59" s="25"/>
      <c r="DP59" s="25"/>
      <c r="DQ59" s="25"/>
      <c r="DR59" s="25"/>
      <c r="DS59" s="25"/>
      <c r="DT59" s="25"/>
      <c r="DU59" s="25"/>
      <c r="DV59" s="25"/>
      <c r="DW59" s="25"/>
      <c r="DX59" s="25"/>
      <c r="DY59" s="25"/>
      <c r="DZ59" s="25"/>
      <c r="EA59" s="25"/>
      <c r="EB59" s="25"/>
      <c r="EC59" s="25"/>
      <c r="ED59" s="25"/>
      <c r="EE59" s="25"/>
      <c r="EF59" s="25"/>
      <c r="EG59" s="25"/>
      <c r="EH59" s="25"/>
      <c r="EI59" s="25"/>
      <c r="EJ59" s="25"/>
      <c r="EK59" s="25"/>
      <c r="EL59" s="25"/>
      <c r="EM59" s="25"/>
      <c r="EN59" s="25"/>
      <c r="EO59" s="25"/>
      <c r="EP59" s="25"/>
      <c r="EQ59" s="25"/>
      <c r="ER59" s="25"/>
      <c r="ES59" s="25"/>
      <c r="ET59" s="25"/>
      <c r="EU59" s="25"/>
      <c r="EV59" s="25"/>
      <c r="EW59" s="25"/>
      <c r="EX59" s="25"/>
      <c r="EY59" s="25"/>
      <c r="EZ59" s="25"/>
      <c r="FA59" s="25"/>
      <c r="FB59" s="25"/>
      <c r="FC59" s="25"/>
      <c r="FD59" s="25"/>
      <c r="FE59" s="25"/>
      <c r="FF59" s="25"/>
      <c r="FG59" s="25"/>
      <c r="FH59" s="25"/>
      <c r="FI59" s="25"/>
      <c r="FJ59" s="25"/>
      <c r="FK59" s="25"/>
      <c r="FL59" s="25"/>
      <c r="FM59" s="25"/>
      <c r="FN59" s="25"/>
      <c r="FO59" s="25"/>
      <c r="FP59" s="25"/>
      <c r="FQ59" s="25"/>
      <c r="FR59" s="25"/>
      <c r="FS59" s="25"/>
      <c r="FT59" s="25"/>
      <c r="FU59" s="25"/>
      <c r="FV59" s="25"/>
      <c r="FW59" s="25"/>
      <c r="FX59" s="25"/>
      <c r="FY59" s="25"/>
      <c r="FZ59" s="25"/>
      <c r="GA59" s="25"/>
      <c r="GB59" s="25"/>
      <c r="GC59" s="25"/>
      <c r="GD59" s="25"/>
      <c r="GE59" s="25"/>
      <c r="GF59" s="25"/>
      <c r="GG59" s="25"/>
      <c r="GH59" s="25"/>
      <c r="GI59" s="25"/>
      <c r="GJ59" s="25"/>
      <c r="GK59" s="25"/>
      <c r="GL59" s="25"/>
      <c r="GM59" s="25"/>
      <c r="GN59" s="25"/>
      <c r="GO59" s="25"/>
      <c r="GP59" s="25"/>
      <c r="GQ59" s="25"/>
      <c r="GR59" s="25"/>
      <c r="GS59" s="25"/>
      <c r="GT59" s="25"/>
      <c r="GU59" s="25"/>
      <c r="GV59" s="25"/>
      <c r="GW59" s="25"/>
      <c r="GX59" s="25"/>
      <c r="GY59" s="25"/>
      <c r="GZ59" s="25"/>
      <c r="HA59" s="25"/>
      <c r="HB59" s="25"/>
      <c r="HC59" s="25"/>
      <c r="HD59" s="25"/>
      <c r="HE59" s="25"/>
      <c r="HF59" s="25"/>
      <c r="HG59" s="25"/>
      <c r="HH59" s="25"/>
      <c r="HI59" s="25"/>
      <c r="HJ59" s="25"/>
      <c r="HK59" s="25"/>
      <c r="HL59" s="25"/>
      <c r="HM59" s="25"/>
      <c r="HN59" s="25"/>
      <c r="HO59" s="25"/>
      <c r="HP59" s="25"/>
      <c r="HQ59" s="25"/>
      <c r="HR59" s="25"/>
      <c r="HS59" s="25"/>
      <c r="HT59" s="25"/>
      <c r="HU59" s="25"/>
      <c r="HV59" s="25"/>
      <c r="HW59" s="25"/>
      <c r="HX59" s="25"/>
      <c r="HY59" s="25"/>
      <c r="HZ59" s="25"/>
      <c r="IA59" s="25"/>
      <c r="IB59" s="25"/>
      <c r="IC59" s="25"/>
      <c r="ID59" s="25"/>
      <c r="IE59" s="25"/>
      <c r="IF59" s="25"/>
      <c r="IG59" s="25"/>
      <c r="IH59" s="25"/>
      <c r="II59" s="25"/>
      <c r="IJ59" s="25"/>
      <c r="IK59" s="25"/>
      <c r="IL59" s="25"/>
      <c r="IM59" s="25"/>
      <c r="IN59" s="25"/>
      <c r="IO59" s="25"/>
      <c r="IP59" s="25"/>
      <c r="IQ59" s="25"/>
      <c r="IR59" s="25"/>
      <c r="IS59" s="25"/>
      <c r="IT59" s="25"/>
      <c r="IU59" s="25"/>
      <c r="IV59" s="25"/>
      <c r="IW59" s="25"/>
    </row>
  </sheetData>
  <mergeCells count="7">
    <mergeCell ref="Q5:U6"/>
    <mergeCell ref="A2:K2"/>
    <mergeCell ref="A3:K3"/>
    <mergeCell ref="A5:A6"/>
    <mergeCell ref="B5:F6"/>
    <mergeCell ref="G5:K6"/>
    <mergeCell ref="L5:P6"/>
  </mergeCells>
  <pageMargins left="0.7" right="0.7" top="0.75" bottom="0.75" header="0.3" footer="0.3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W64"/>
  <sheetViews>
    <sheetView view="pageBreakPreview" topLeftCell="A25" zoomScaleNormal="100" zoomScaleSheetLayoutView="100" workbookViewId="0">
      <selection activeCell="K40" sqref="K1:W1048576"/>
    </sheetView>
  </sheetViews>
  <sheetFormatPr defaultRowHeight="15" x14ac:dyDescent="0.25"/>
  <cols>
    <col min="1" max="1" width="23.28515625" style="2" customWidth="1"/>
    <col min="2" max="11" width="9.140625" style="2" customWidth="1"/>
    <col min="12" max="13" width="9.140625" style="6" customWidth="1"/>
    <col min="14" max="14" width="9.85546875" style="6" customWidth="1"/>
    <col min="15" max="15" width="10.140625" style="6" customWidth="1"/>
    <col min="16" max="16" width="10" style="6" customWidth="1"/>
    <col min="17" max="21" width="9.140625" style="28" customWidth="1"/>
    <col min="22" max="22" width="9.140625" style="2" customWidth="1"/>
    <col min="23" max="16384" width="9.140625" style="2"/>
  </cols>
  <sheetData>
    <row r="1" spans="1:21" ht="15.75" x14ac:dyDescent="0.25">
      <c r="J1" s="71" t="s">
        <v>100</v>
      </c>
      <c r="K1" s="71"/>
    </row>
    <row r="2" spans="1:21" ht="15.75" x14ac:dyDescent="0.25">
      <c r="A2" s="63" t="s">
        <v>33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21" ht="15.75" x14ac:dyDescent="0.25">
      <c r="A3" s="63" t="s">
        <v>68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21" x14ac:dyDescent="0.25">
      <c r="A4" s="3" t="s">
        <v>34</v>
      </c>
      <c r="B4" s="20"/>
      <c r="C4" s="20"/>
      <c r="D4" s="20"/>
      <c r="E4" s="20"/>
      <c r="F4" s="21"/>
      <c r="K4" s="22"/>
    </row>
    <row r="5" spans="1:21" x14ac:dyDescent="0.25">
      <c r="A5" s="68" t="s">
        <v>35</v>
      </c>
      <c r="B5" s="66" t="s">
        <v>29</v>
      </c>
      <c r="C5" s="66"/>
      <c r="D5" s="66"/>
      <c r="E5" s="66"/>
      <c r="F5" s="66"/>
      <c r="G5" s="66" t="s">
        <v>36</v>
      </c>
      <c r="H5" s="66"/>
      <c r="I5" s="66"/>
      <c r="J5" s="66"/>
      <c r="K5" s="66"/>
      <c r="L5" s="66" t="s">
        <v>42</v>
      </c>
      <c r="M5" s="66"/>
      <c r="N5" s="66"/>
      <c r="O5" s="66"/>
      <c r="P5" s="66"/>
      <c r="Q5" s="66" t="s">
        <v>43</v>
      </c>
      <c r="R5" s="66"/>
      <c r="S5" s="66"/>
      <c r="T5" s="66"/>
      <c r="U5" s="66"/>
    </row>
    <row r="6" spans="1:21" x14ac:dyDescent="0.25">
      <c r="A6" s="69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</row>
    <row r="7" spans="1:21" x14ac:dyDescent="0.25">
      <c r="A7" s="29" t="s">
        <v>37</v>
      </c>
      <c r="B7" s="9" t="s">
        <v>1</v>
      </c>
      <c r="C7" s="9" t="s">
        <v>39</v>
      </c>
      <c r="D7" s="9" t="s">
        <v>40</v>
      </c>
      <c r="E7" s="9" t="s">
        <v>2</v>
      </c>
      <c r="F7" s="9" t="s">
        <v>41</v>
      </c>
      <c r="G7" s="9" t="s">
        <v>1</v>
      </c>
      <c r="H7" s="9" t="s">
        <v>39</v>
      </c>
      <c r="I7" s="9" t="s">
        <v>40</v>
      </c>
      <c r="J7" s="9" t="s">
        <v>2</v>
      </c>
      <c r="K7" s="9" t="s">
        <v>41</v>
      </c>
      <c r="L7" s="9" t="s">
        <v>1</v>
      </c>
      <c r="M7" s="9" t="s">
        <v>39</v>
      </c>
      <c r="N7" s="9" t="s">
        <v>40</v>
      </c>
      <c r="O7" s="9" t="s">
        <v>2</v>
      </c>
      <c r="P7" s="9" t="s">
        <v>41</v>
      </c>
      <c r="Q7" s="9" t="s">
        <v>1</v>
      </c>
      <c r="R7" s="9" t="s">
        <v>39</v>
      </c>
      <c r="S7" s="9" t="s">
        <v>40</v>
      </c>
      <c r="T7" s="9" t="s">
        <v>2</v>
      </c>
      <c r="U7" s="9" t="s">
        <v>41</v>
      </c>
    </row>
    <row r="8" spans="1:21" x14ac:dyDescent="0.25">
      <c r="A8" s="30" t="s">
        <v>44</v>
      </c>
      <c r="B8" s="11" t="str">
        <f t="shared" ref="B8:B49" si="0">IF(L8/$P$50=0,"-",L8/$P$50)</f>
        <v>-</v>
      </c>
      <c r="C8" s="11">
        <f>M8/$P$50</f>
        <v>0</v>
      </c>
      <c r="D8" s="11">
        <f>N8/$P$50</f>
        <v>9.9815906534776451E-4</v>
      </c>
      <c r="E8" s="11">
        <f>O8/$P$50</f>
        <v>1.3127593799224756E-3</v>
      </c>
      <c r="F8" s="11">
        <f>P8/$P$50</f>
        <v>2.3109184452702399E-3</v>
      </c>
      <c r="G8" s="11" t="str">
        <f t="shared" ref="G8:G49" si="1">IF(Q8/$U$50=0,"-",Q8/$U$50)</f>
        <v>-</v>
      </c>
      <c r="H8" s="11" t="str">
        <f t="shared" ref="H8:H49" si="2">IF(R8/$U$50=0,"-",R8/$U$50)</f>
        <v>-</v>
      </c>
      <c r="I8" s="11">
        <f t="shared" ref="I8:I49" si="3">IF(S8/$U$50=0,"-",S8/$U$50)</f>
        <v>9.9815906534776451E-4</v>
      </c>
      <c r="J8" s="11">
        <f t="shared" ref="J8:J49" si="4">IF(T8/$U$50=0,"-",T8/$U$50)</f>
        <v>1.3127593799224754E-3</v>
      </c>
      <c r="K8" s="11">
        <f t="shared" ref="K8:K49" si="5">IF(U8/$U$50=0,"-",U8/$U$50)</f>
        <v>2.3109184452702394E-3</v>
      </c>
      <c r="L8" s="13"/>
      <c r="M8" s="13"/>
      <c r="N8" s="13">
        <v>55749</v>
      </c>
      <c r="O8" s="13">
        <v>73320</v>
      </c>
      <c r="P8" s="13">
        <f>SUM(L8:O8)</f>
        <v>129069</v>
      </c>
      <c r="Q8" s="14" t="str">
        <f>IF(L8/744*1.15=0,"0",L8/744*1.15)</f>
        <v>0</v>
      </c>
      <c r="R8" s="14" t="str">
        <f>IF(M8/744*1.15=0,"0",M8/744*1.15)</f>
        <v>0</v>
      </c>
      <c r="S8" s="14">
        <f>IF(N8/744*1.15=0,"0",N8/744*1.15)</f>
        <v>86.17116935483871</v>
      </c>
      <c r="T8" s="14">
        <f>IF(O8/744*1.15=0,"0",O8/744*1.15)</f>
        <v>113.33064516129031</v>
      </c>
      <c r="U8" s="14">
        <f>Q8+R8+S8+T8</f>
        <v>199.501814516129</v>
      </c>
    </row>
    <row r="9" spans="1:21" x14ac:dyDescent="0.25">
      <c r="A9" s="10" t="s">
        <v>3</v>
      </c>
      <c r="B9" s="37">
        <f t="shared" si="0"/>
        <v>4.7055047108129529E-3</v>
      </c>
      <c r="C9" s="37" t="str">
        <f t="shared" ref="C9:C49" si="6">IF(M9/$P$50=0,"-",M9/$P$50)</f>
        <v>-</v>
      </c>
      <c r="D9" s="37">
        <f t="shared" ref="D9:D49" si="7">IF(N9/$P$50=0,"-",N9/$P$50)</f>
        <v>1.010651048699809E-2</v>
      </c>
      <c r="E9" s="37">
        <f t="shared" ref="E9:E49" si="8">IF(O9/$P$50=0,"-",O9/$P$50)</f>
        <v>4.5571657656048557E-3</v>
      </c>
      <c r="F9" s="37">
        <f t="shared" ref="F9:F49" si="9">P9/$P$50</f>
        <v>1.9369180963415899E-2</v>
      </c>
      <c r="G9" s="37">
        <f t="shared" si="1"/>
        <v>4.7055047108129529E-3</v>
      </c>
      <c r="H9" s="37" t="str">
        <f t="shared" si="2"/>
        <v>-</v>
      </c>
      <c r="I9" s="37">
        <f t="shared" si="3"/>
        <v>1.010651048699809E-2</v>
      </c>
      <c r="J9" s="37">
        <f t="shared" si="4"/>
        <v>4.5571657656048557E-3</v>
      </c>
      <c r="K9" s="37">
        <f t="shared" si="5"/>
        <v>1.9369180963415899E-2</v>
      </c>
      <c r="L9" s="13">
        <v>262811</v>
      </c>
      <c r="M9" s="13"/>
      <c r="N9" s="13">
        <v>564467</v>
      </c>
      <c r="O9" s="13">
        <v>254526</v>
      </c>
      <c r="P9" s="13">
        <f t="shared" ref="P9:P11" si="10">SUM(L9:O9)</f>
        <v>1081804</v>
      </c>
      <c r="Q9" s="14">
        <f t="shared" ref="Q9:T49" si="11">IF(L9/744*1.15=0,"0",L9/744*1.15)</f>
        <v>406.22668010752687</v>
      </c>
      <c r="R9" s="14" t="str">
        <f t="shared" si="11"/>
        <v>0</v>
      </c>
      <c r="S9" s="14">
        <f t="shared" si="11"/>
        <v>872.49603494623659</v>
      </c>
      <c r="T9" s="14">
        <f t="shared" si="11"/>
        <v>393.42056451612905</v>
      </c>
      <c r="U9" s="14">
        <f t="shared" ref="U9:U49" si="12">Q9+R9+S9+T9</f>
        <v>1672.1432795698925</v>
      </c>
    </row>
    <row r="10" spans="1:21" x14ac:dyDescent="0.25">
      <c r="A10" s="10" t="s">
        <v>4</v>
      </c>
      <c r="B10" s="37" t="str">
        <f t="shared" si="0"/>
        <v>-</v>
      </c>
      <c r="C10" s="37">
        <f t="shared" si="6"/>
        <v>4.5003368202710592E-3</v>
      </c>
      <c r="D10" s="37">
        <f t="shared" si="7"/>
        <v>2.4401228303402692E-2</v>
      </c>
      <c r="E10" s="37">
        <f t="shared" si="8"/>
        <v>1.7384858860878417E-2</v>
      </c>
      <c r="F10" s="37">
        <f t="shared" si="9"/>
        <v>4.6286423984552169E-2</v>
      </c>
      <c r="G10" s="37" t="str">
        <f t="shared" si="1"/>
        <v>-</v>
      </c>
      <c r="H10" s="37">
        <f t="shared" si="2"/>
        <v>4.5003368202710583E-3</v>
      </c>
      <c r="I10" s="37">
        <f t="shared" si="3"/>
        <v>2.4401228303402696E-2</v>
      </c>
      <c r="J10" s="37">
        <f t="shared" si="4"/>
        <v>1.7384858860878413E-2</v>
      </c>
      <c r="K10" s="37">
        <f t="shared" si="5"/>
        <v>4.6286423984552162E-2</v>
      </c>
      <c r="L10" s="13"/>
      <c r="M10" s="13">
        <v>251352</v>
      </c>
      <c r="N10" s="13">
        <v>1362853</v>
      </c>
      <c r="O10" s="13">
        <v>970976</v>
      </c>
      <c r="P10" s="13">
        <f t="shared" si="10"/>
        <v>2585181</v>
      </c>
      <c r="Q10" s="14" t="str">
        <f t="shared" si="11"/>
        <v>0</v>
      </c>
      <c r="R10" s="14">
        <f t="shared" si="11"/>
        <v>388.51451612903219</v>
      </c>
      <c r="S10" s="14">
        <f t="shared" si="11"/>
        <v>2106.5604166666667</v>
      </c>
      <c r="T10" s="14">
        <f t="shared" si="11"/>
        <v>1500.8365591397846</v>
      </c>
      <c r="U10" s="14">
        <f t="shared" si="12"/>
        <v>3995.9114919354834</v>
      </c>
    </row>
    <row r="11" spans="1:21" x14ac:dyDescent="0.25">
      <c r="A11" s="10" t="s">
        <v>51</v>
      </c>
      <c r="B11" s="37" t="str">
        <f t="shared" si="0"/>
        <v>-</v>
      </c>
      <c r="C11" s="37" t="str">
        <f t="shared" si="6"/>
        <v>-</v>
      </c>
      <c r="D11" s="37">
        <f t="shared" si="7"/>
        <v>1.3179158815784721E-2</v>
      </c>
      <c r="E11" s="37">
        <f t="shared" si="8"/>
        <v>7.6857657182629775E-3</v>
      </c>
      <c r="F11" s="37">
        <f t="shared" si="9"/>
        <v>2.0864924534047698E-2</v>
      </c>
      <c r="G11" s="37" t="str">
        <f t="shared" si="1"/>
        <v>-</v>
      </c>
      <c r="H11" s="37" t="str">
        <f t="shared" si="2"/>
        <v>-</v>
      </c>
      <c r="I11" s="37">
        <f t="shared" si="3"/>
        <v>1.3179158815784721E-2</v>
      </c>
      <c r="J11" s="37">
        <f t="shared" si="4"/>
        <v>7.6857657182629775E-3</v>
      </c>
      <c r="K11" s="37">
        <f t="shared" si="5"/>
        <v>2.0864924534047698E-2</v>
      </c>
      <c r="L11" s="13"/>
      <c r="M11" s="13"/>
      <c r="N11" s="13">
        <v>736080</v>
      </c>
      <c r="O11" s="13">
        <v>429264</v>
      </c>
      <c r="P11" s="13">
        <f t="shared" si="10"/>
        <v>1165344</v>
      </c>
      <c r="Q11" s="14" t="str">
        <f t="shared" si="11"/>
        <v>0</v>
      </c>
      <c r="R11" s="14" t="str">
        <f t="shared" si="11"/>
        <v>0</v>
      </c>
      <c r="S11" s="14">
        <f t="shared" si="11"/>
        <v>1137.758064516129</v>
      </c>
      <c r="T11" s="14">
        <f t="shared" si="11"/>
        <v>663.51290322580644</v>
      </c>
      <c r="U11" s="14">
        <f t="shared" si="12"/>
        <v>1801.2709677419355</v>
      </c>
    </row>
    <row r="12" spans="1:21" x14ac:dyDescent="0.25">
      <c r="A12" s="10" t="s">
        <v>5</v>
      </c>
      <c r="B12" s="37" t="str">
        <f t="shared" si="0"/>
        <v>-</v>
      </c>
      <c r="C12" s="37" t="str">
        <f t="shared" si="6"/>
        <v>-</v>
      </c>
      <c r="D12" s="37">
        <f t="shared" si="7"/>
        <v>1.270588864817028E-2</v>
      </c>
      <c r="E12" s="37">
        <f t="shared" si="8"/>
        <v>2.2127300595706375E-3</v>
      </c>
      <c r="F12" s="37">
        <f t="shared" si="9"/>
        <v>1.4918618707740918E-2</v>
      </c>
      <c r="G12" s="37" t="str">
        <f t="shared" si="1"/>
        <v>-</v>
      </c>
      <c r="H12" s="37" t="str">
        <f t="shared" si="2"/>
        <v>-</v>
      </c>
      <c r="I12" s="37">
        <f t="shared" si="3"/>
        <v>1.270588864817028E-2</v>
      </c>
      <c r="J12" s="37">
        <f t="shared" si="4"/>
        <v>2.212730059570637E-3</v>
      </c>
      <c r="K12" s="37">
        <f t="shared" si="5"/>
        <v>1.4918618707740916E-2</v>
      </c>
      <c r="L12" s="13"/>
      <c r="M12" s="13"/>
      <c r="N12" s="13">
        <f>94657+614990</f>
        <v>709647</v>
      </c>
      <c r="O12" s="13">
        <v>123585</v>
      </c>
      <c r="P12" s="13">
        <f t="shared" ref="P12:P21" si="13">L12+M12+N12+O12</f>
        <v>833232</v>
      </c>
      <c r="Q12" s="14" t="str">
        <f t="shared" si="11"/>
        <v>0</v>
      </c>
      <c r="R12" s="14" t="str">
        <f t="shared" si="11"/>
        <v>0</v>
      </c>
      <c r="S12" s="14">
        <f t="shared" si="11"/>
        <v>1096.9006048387096</v>
      </c>
      <c r="T12" s="14">
        <f t="shared" si="11"/>
        <v>191.0252016129032</v>
      </c>
      <c r="U12" s="14">
        <f t="shared" si="12"/>
        <v>1287.9258064516127</v>
      </c>
    </row>
    <row r="13" spans="1:21" x14ac:dyDescent="0.25">
      <c r="A13" s="10" t="s">
        <v>6</v>
      </c>
      <c r="B13" s="37" t="str">
        <f t="shared" si="0"/>
        <v>-</v>
      </c>
      <c r="C13" s="37" t="str">
        <f t="shared" si="6"/>
        <v>-</v>
      </c>
      <c r="D13" s="37">
        <f t="shared" si="7"/>
        <v>3.6925386077238369E-3</v>
      </c>
      <c r="E13" s="37">
        <f t="shared" si="8"/>
        <v>7.7589772990663466E-3</v>
      </c>
      <c r="F13" s="37">
        <f t="shared" si="9"/>
        <v>1.1451515906790184E-2</v>
      </c>
      <c r="G13" s="37" t="str">
        <f t="shared" si="1"/>
        <v>-</v>
      </c>
      <c r="H13" s="37" t="str">
        <f t="shared" si="2"/>
        <v>-</v>
      </c>
      <c r="I13" s="37">
        <f t="shared" si="3"/>
        <v>3.6925386077238365E-3</v>
      </c>
      <c r="J13" s="37">
        <f t="shared" si="4"/>
        <v>7.7589772990663466E-3</v>
      </c>
      <c r="K13" s="37">
        <f t="shared" si="5"/>
        <v>1.1451515906790184E-2</v>
      </c>
      <c r="L13" s="13"/>
      <c r="M13" s="13"/>
      <c r="N13" s="13">
        <v>206235</v>
      </c>
      <c r="O13" s="13">
        <v>433353</v>
      </c>
      <c r="P13" s="13">
        <f t="shared" si="13"/>
        <v>639588</v>
      </c>
      <c r="Q13" s="14" t="str">
        <f t="shared" si="11"/>
        <v>0</v>
      </c>
      <c r="R13" s="14" t="str">
        <f t="shared" si="11"/>
        <v>0</v>
      </c>
      <c r="S13" s="14">
        <f t="shared" si="11"/>
        <v>318.77721774193543</v>
      </c>
      <c r="T13" s="14">
        <f t="shared" si="11"/>
        <v>669.83326612903227</v>
      </c>
      <c r="U13" s="14">
        <f t="shared" si="12"/>
        <v>988.61048387096776</v>
      </c>
    </row>
    <row r="14" spans="1:21" x14ac:dyDescent="0.25">
      <c r="A14" s="10" t="s">
        <v>52</v>
      </c>
      <c r="B14" s="37">
        <f t="shared" si="0"/>
        <v>5.1615204360875647E-2</v>
      </c>
      <c r="C14" s="37">
        <f t="shared" si="6"/>
        <v>7.4845189175219984E-3</v>
      </c>
      <c r="D14" s="37">
        <f t="shared" si="7"/>
        <v>0.13250239400660671</v>
      </c>
      <c r="E14" s="37">
        <f t="shared" si="8"/>
        <v>2.9351875788619676E-2</v>
      </c>
      <c r="F14" s="37">
        <f t="shared" si="9"/>
        <v>0.22095399307362401</v>
      </c>
      <c r="G14" s="37">
        <f t="shared" si="1"/>
        <v>5.1615204360875647E-2</v>
      </c>
      <c r="H14" s="37">
        <f t="shared" si="2"/>
        <v>7.4845189175219984E-3</v>
      </c>
      <c r="I14" s="37">
        <f t="shared" si="3"/>
        <v>0.13250239400660671</v>
      </c>
      <c r="J14" s="37">
        <f t="shared" si="4"/>
        <v>2.9351875788619676E-2</v>
      </c>
      <c r="K14" s="37">
        <f t="shared" si="5"/>
        <v>0.22095399307362398</v>
      </c>
      <c r="L14" s="13">
        <v>2882803.08</v>
      </c>
      <c r="M14" s="13">
        <v>418024</v>
      </c>
      <c r="N14" s="13">
        <v>7400499.7999999998</v>
      </c>
      <c r="O14" s="13">
        <v>1639355.6700000002</v>
      </c>
      <c r="P14" s="13">
        <f t="shared" si="13"/>
        <v>12340682.549999999</v>
      </c>
      <c r="Q14" s="14">
        <f t="shared" si="11"/>
        <v>4455.9456209677419</v>
      </c>
      <c r="R14" s="14">
        <f t="shared" si="11"/>
        <v>646.13924731182794</v>
      </c>
      <c r="S14" s="14">
        <f t="shared" si="11"/>
        <v>11438.944583333332</v>
      </c>
      <c r="T14" s="14">
        <f t="shared" si="11"/>
        <v>2533.9502963709679</v>
      </c>
      <c r="U14" s="14">
        <f t="shared" si="12"/>
        <v>19074.979747983867</v>
      </c>
    </row>
    <row r="15" spans="1:21" x14ac:dyDescent="0.25">
      <c r="A15" s="30" t="s">
        <v>54</v>
      </c>
      <c r="B15" s="37" t="str">
        <f t="shared" si="0"/>
        <v>-</v>
      </c>
      <c r="C15" s="37" t="str">
        <f t="shared" si="6"/>
        <v>-</v>
      </c>
      <c r="D15" s="37">
        <f t="shared" si="7"/>
        <v>9.0830344308809527E-3</v>
      </c>
      <c r="E15" s="37">
        <f t="shared" si="8"/>
        <v>5.726688988416313E-3</v>
      </c>
      <c r="F15" s="37">
        <f t="shared" si="9"/>
        <v>1.4809723419297267E-2</v>
      </c>
      <c r="G15" s="37" t="str">
        <f t="shared" si="1"/>
        <v>-</v>
      </c>
      <c r="H15" s="37" t="str">
        <f t="shared" si="2"/>
        <v>-</v>
      </c>
      <c r="I15" s="37">
        <f t="shared" si="3"/>
        <v>9.0830344308809527E-3</v>
      </c>
      <c r="J15" s="37">
        <f t="shared" si="4"/>
        <v>5.726688988416313E-3</v>
      </c>
      <c r="K15" s="37">
        <f t="shared" si="5"/>
        <v>1.4809723419297267E-2</v>
      </c>
      <c r="L15" s="13"/>
      <c r="M15" s="13"/>
      <c r="N15" s="13">
        <v>507304</v>
      </c>
      <c r="O15" s="13">
        <v>319846</v>
      </c>
      <c r="P15" s="13">
        <f t="shared" si="13"/>
        <v>827150</v>
      </c>
      <c r="Q15" s="14" t="str">
        <f t="shared" si="11"/>
        <v>0</v>
      </c>
      <c r="R15" s="14" t="str">
        <f t="shared" si="11"/>
        <v>0</v>
      </c>
      <c r="S15" s="14">
        <f t="shared" si="11"/>
        <v>784.13924731182794</v>
      </c>
      <c r="T15" s="14">
        <f t="shared" si="11"/>
        <v>494.38561827956983</v>
      </c>
      <c r="U15" s="14">
        <f t="shared" si="12"/>
        <v>1278.5248655913979</v>
      </c>
    </row>
    <row r="16" spans="1:21" x14ac:dyDescent="0.25">
      <c r="A16" s="10" t="s">
        <v>7</v>
      </c>
      <c r="B16" s="37" t="str">
        <f t="shared" si="0"/>
        <v>-</v>
      </c>
      <c r="C16" s="37" t="str">
        <f t="shared" si="6"/>
        <v>-</v>
      </c>
      <c r="D16" s="37">
        <f t="shared" si="7"/>
        <v>9.6165712115998548E-3</v>
      </c>
      <c r="E16" s="37">
        <f t="shared" si="8"/>
        <v>2.7892555919424829E-3</v>
      </c>
      <c r="F16" s="37">
        <f t="shared" si="9"/>
        <v>1.2405826803542337E-2</v>
      </c>
      <c r="G16" s="37" t="str">
        <f t="shared" si="1"/>
        <v>-</v>
      </c>
      <c r="H16" s="37" t="str">
        <f t="shared" si="2"/>
        <v>-</v>
      </c>
      <c r="I16" s="37">
        <f t="shared" si="3"/>
        <v>9.6165712115998531E-3</v>
      </c>
      <c r="J16" s="37">
        <f t="shared" si="4"/>
        <v>2.7892555919424825E-3</v>
      </c>
      <c r="K16" s="37">
        <f t="shared" si="5"/>
        <v>1.2405826803542335E-2</v>
      </c>
      <c r="L16" s="13"/>
      <c r="M16" s="13"/>
      <c r="N16" s="13">
        <v>537103</v>
      </c>
      <c r="O16" s="13">
        <v>155785</v>
      </c>
      <c r="P16" s="13">
        <f t="shared" si="13"/>
        <v>692888</v>
      </c>
      <c r="Q16" s="14" t="str">
        <f t="shared" si="11"/>
        <v>0</v>
      </c>
      <c r="R16" s="14" t="str">
        <f t="shared" si="11"/>
        <v>0</v>
      </c>
      <c r="S16" s="14">
        <f t="shared" si="11"/>
        <v>830.19952956989232</v>
      </c>
      <c r="T16" s="14">
        <f t="shared" si="11"/>
        <v>240.79670698924727</v>
      </c>
      <c r="U16" s="14">
        <f t="shared" si="12"/>
        <v>1070.9962365591396</v>
      </c>
    </row>
    <row r="17" spans="1:23" x14ac:dyDescent="0.25">
      <c r="A17" s="10" t="s">
        <v>8</v>
      </c>
      <c r="B17" s="37" t="str">
        <f t="shared" si="0"/>
        <v>-</v>
      </c>
      <c r="C17" s="37" t="str">
        <f t="shared" si="6"/>
        <v>-</v>
      </c>
      <c r="D17" s="37">
        <f t="shared" si="7"/>
        <v>1.4483682116673312E-3</v>
      </c>
      <c r="E17" s="37">
        <f t="shared" si="8"/>
        <v>1.4730048306904264E-3</v>
      </c>
      <c r="F17" s="37">
        <f t="shared" si="9"/>
        <v>2.9213730423577576E-3</v>
      </c>
      <c r="G17" s="37" t="str">
        <f t="shared" si="1"/>
        <v>-</v>
      </c>
      <c r="H17" s="37" t="str">
        <f t="shared" si="2"/>
        <v>-</v>
      </c>
      <c r="I17" s="37">
        <f t="shared" si="3"/>
        <v>1.4483682116673312E-3</v>
      </c>
      <c r="J17" s="37">
        <f t="shared" si="4"/>
        <v>1.4730048306904264E-3</v>
      </c>
      <c r="K17" s="37">
        <f t="shared" si="5"/>
        <v>2.9213730423577576E-3</v>
      </c>
      <c r="L17" s="13"/>
      <c r="M17" s="13"/>
      <c r="N17" s="13">
        <f>7403+73491</f>
        <v>80894</v>
      </c>
      <c r="O17" s="13">
        <f>64045+18225</f>
        <v>82270</v>
      </c>
      <c r="P17" s="13">
        <f t="shared" si="13"/>
        <v>163164</v>
      </c>
      <c r="Q17" s="14" t="str">
        <f t="shared" si="11"/>
        <v>0</v>
      </c>
      <c r="R17" s="14" t="str">
        <f t="shared" si="11"/>
        <v>0</v>
      </c>
      <c r="S17" s="14">
        <f t="shared" si="11"/>
        <v>125.0377688172043</v>
      </c>
      <c r="T17" s="14">
        <f t="shared" si="11"/>
        <v>127.1646505376344</v>
      </c>
      <c r="U17" s="14">
        <f t="shared" si="12"/>
        <v>252.2024193548387</v>
      </c>
    </row>
    <row r="18" spans="1:23" x14ac:dyDescent="0.25">
      <c r="A18" s="30" t="s">
        <v>9</v>
      </c>
      <c r="B18" s="37">
        <f t="shared" si="0"/>
        <v>3.352567588820837E-3</v>
      </c>
      <c r="C18" s="37" t="str">
        <f t="shared" si="6"/>
        <v>-</v>
      </c>
      <c r="D18" s="37">
        <f t="shared" si="7"/>
        <v>4.1137424322284233E-3</v>
      </c>
      <c r="E18" s="37">
        <f t="shared" si="8"/>
        <v>5.9677017272752389E-3</v>
      </c>
      <c r="F18" s="37">
        <f t="shared" si="9"/>
        <v>1.3434011748324499E-2</v>
      </c>
      <c r="G18" s="37">
        <f t="shared" si="1"/>
        <v>3.352567588820837E-3</v>
      </c>
      <c r="H18" s="37" t="str">
        <f t="shared" si="2"/>
        <v>-</v>
      </c>
      <c r="I18" s="37">
        <f t="shared" si="3"/>
        <v>4.1137424322284233E-3</v>
      </c>
      <c r="J18" s="37">
        <f t="shared" si="4"/>
        <v>5.9677017272752389E-3</v>
      </c>
      <c r="K18" s="37">
        <f t="shared" si="5"/>
        <v>1.3434011748324499E-2</v>
      </c>
      <c r="L18" s="13">
        <v>187247</v>
      </c>
      <c r="M18" s="13"/>
      <c r="N18" s="13">
        <v>229760</v>
      </c>
      <c r="O18" s="13">
        <v>333307</v>
      </c>
      <c r="P18" s="13">
        <f t="shared" si="13"/>
        <v>750314</v>
      </c>
      <c r="Q18" s="14">
        <f t="shared" si="11"/>
        <v>289.42748655913977</v>
      </c>
      <c r="R18" s="14" t="str">
        <f t="shared" si="11"/>
        <v>0</v>
      </c>
      <c r="S18" s="14">
        <f t="shared" si="11"/>
        <v>355.13978494623655</v>
      </c>
      <c r="T18" s="14">
        <f t="shared" si="11"/>
        <v>515.19227150537631</v>
      </c>
      <c r="U18" s="14">
        <f t="shared" si="12"/>
        <v>1159.7595430107526</v>
      </c>
    </row>
    <row r="19" spans="1:23" x14ac:dyDescent="0.25">
      <c r="A19" s="10" t="s">
        <v>10</v>
      </c>
      <c r="B19" s="37" t="str">
        <f t="shared" si="0"/>
        <v>-</v>
      </c>
      <c r="C19" s="37" t="str">
        <f t="shared" si="6"/>
        <v>-</v>
      </c>
      <c r="D19" s="37">
        <f t="shared" si="7"/>
        <v>9.7728955725668917E-3</v>
      </c>
      <c r="E19" s="37">
        <f t="shared" si="8"/>
        <v>4.0157330917252095E-3</v>
      </c>
      <c r="F19" s="37">
        <f t="shared" si="9"/>
        <v>1.3788628664292101E-2</v>
      </c>
      <c r="G19" s="37" t="str">
        <f t="shared" si="1"/>
        <v>-</v>
      </c>
      <c r="H19" s="37" t="str">
        <f t="shared" si="2"/>
        <v>-</v>
      </c>
      <c r="I19" s="37">
        <f t="shared" si="3"/>
        <v>9.7728955725668899E-3</v>
      </c>
      <c r="J19" s="37">
        <f t="shared" si="4"/>
        <v>4.0157330917252087E-3</v>
      </c>
      <c r="K19" s="37">
        <f t="shared" si="5"/>
        <v>1.3788628664292099E-2</v>
      </c>
      <c r="L19" s="13"/>
      <c r="M19" s="13"/>
      <c r="N19" s="12">
        <v>545834</v>
      </c>
      <c r="O19" s="12">
        <v>224286</v>
      </c>
      <c r="P19" s="13">
        <f t="shared" si="13"/>
        <v>770120</v>
      </c>
      <c r="Q19" s="14" t="str">
        <f t="shared" si="11"/>
        <v>0</v>
      </c>
      <c r="R19" s="14" t="str">
        <f t="shared" si="11"/>
        <v>0</v>
      </c>
      <c r="S19" s="14">
        <f t="shared" si="11"/>
        <v>843.69502688172031</v>
      </c>
      <c r="T19" s="14">
        <f t="shared" si="11"/>
        <v>346.67862903225802</v>
      </c>
      <c r="U19" s="14">
        <f t="shared" si="12"/>
        <v>1190.3736559139784</v>
      </c>
    </row>
    <row r="20" spans="1:23" x14ac:dyDescent="0.25">
      <c r="A20" s="10" t="s">
        <v>74</v>
      </c>
      <c r="B20" s="37" t="str">
        <f t="shared" si="0"/>
        <v>-</v>
      </c>
      <c r="C20" s="37" t="str">
        <f t="shared" si="6"/>
        <v>-</v>
      </c>
      <c r="D20" s="37">
        <f t="shared" si="7"/>
        <v>3.8824339430137684E-3</v>
      </c>
      <c r="E20" s="37">
        <f t="shared" si="8"/>
        <v>6.2282662015798187E-4</v>
      </c>
      <c r="F20" s="37">
        <f t="shared" si="9"/>
        <v>4.5052605631717502E-3</v>
      </c>
      <c r="G20" s="37" t="str">
        <f t="shared" si="1"/>
        <v>-</v>
      </c>
      <c r="H20" s="37" t="str">
        <f t="shared" si="2"/>
        <v>-</v>
      </c>
      <c r="I20" s="37">
        <f t="shared" si="3"/>
        <v>3.882433943013768E-3</v>
      </c>
      <c r="J20" s="37">
        <f t="shared" si="4"/>
        <v>6.2282662015798187E-4</v>
      </c>
      <c r="K20" s="37">
        <f t="shared" si="5"/>
        <v>4.5052605631717493E-3</v>
      </c>
      <c r="L20" s="13"/>
      <c r="M20" s="13"/>
      <c r="N20" s="13">
        <v>216841</v>
      </c>
      <c r="O20" s="13">
        <v>34786</v>
      </c>
      <c r="P20" s="13">
        <f t="shared" si="13"/>
        <v>251627</v>
      </c>
      <c r="Q20" s="14" t="str">
        <f t="shared" si="11"/>
        <v>0</v>
      </c>
      <c r="R20" s="14" t="str">
        <f t="shared" si="11"/>
        <v>0</v>
      </c>
      <c r="S20" s="14">
        <f t="shared" si="11"/>
        <v>335.17090053763434</v>
      </c>
      <c r="T20" s="14">
        <f t="shared" si="11"/>
        <v>53.768682795698922</v>
      </c>
      <c r="U20" s="14">
        <f t="shared" si="12"/>
        <v>388.93958333333325</v>
      </c>
    </row>
    <row r="21" spans="1:23" x14ac:dyDescent="0.25">
      <c r="A21" s="10" t="s">
        <v>11</v>
      </c>
      <c r="B21" s="37">
        <f t="shared" si="0"/>
        <v>6.5799288718070056E-3</v>
      </c>
      <c r="C21" s="37" t="str">
        <f t="shared" si="6"/>
        <v>-</v>
      </c>
      <c r="D21" s="37">
        <f t="shared" si="7"/>
        <v>1.1338878573742007E-2</v>
      </c>
      <c r="E21" s="37">
        <f t="shared" si="8"/>
        <v>8.3383854591000516E-3</v>
      </c>
      <c r="F21" s="37">
        <f t="shared" si="9"/>
        <v>2.6257192904649063E-2</v>
      </c>
      <c r="G21" s="37">
        <f t="shared" si="1"/>
        <v>6.5799288718070056E-3</v>
      </c>
      <c r="H21" s="37" t="str">
        <f t="shared" si="2"/>
        <v>-</v>
      </c>
      <c r="I21" s="37">
        <f t="shared" si="3"/>
        <v>1.1338878573742007E-2</v>
      </c>
      <c r="J21" s="37">
        <f t="shared" si="4"/>
        <v>8.3383854591000516E-3</v>
      </c>
      <c r="K21" s="37">
        <f t="shared" si="5"/>
        <v>2.6257192904649063E-2</v>
      </c>
      <c r="L21" s="13">
        <v>367501</v>
      </c>
      <c r="M21" s="13"/>
      <c r="N21" s="13">
        <v>633297</v>
      </c>
      <c r="O21" s="13">
        <v>465714</v>
      </c>
      <c r="P21" s="13">
        <f t="shared" si="13"/>
        <v>1466512</v>
      </c>
      <c r="Q21" s="14">
        <f t="shared" si="11"/>
        <v>568.04590053763434</v>
      </c>
      <c r="R21" s="14" t="str">
        <f t="shared" si="11"/>
        <v>0</v>
      </c>
      <c r="S21" s="14">
        <f t="shared" si="11"/>
        <v>978.88649193548383</v>
      </c>
      <c r="T21" s="14">
        <f t="shared" si="11"/>
        <v>719.85362903225803</v>
      </c>
      <c r="U21" s="14">
        <f t="shared" si="12"/>
        <v>2266.7860215053761</v>
      </c>
    </row>
    <row r="22" spans="1:23" x14ac:dyDescent="0.25">
      <c r="A22" s="10" t="s">
        <v>12</v>
      </c>
      <c r="B22" s="37" t="str">
        <f t="shared" si="0"/>
        <v>-</v>
      </c>
      <c r="C22" s="37" t="str">
        <f t="shared" si="6"/>
        <v>-</v>
      </c>
      <c r="D22" s="37">
        <f t="shared" si="7"/>
        <v>6.8779496011961167E-3</v>
      </c>
      <c r="E22" s="37">
        <f t="shared" si="8"/>
        <v>1.9788612240476235E-3</v>
      </c>
      <c r="F22" s="37">
        <f t="shared" si="9"/>
        <v>8.8568108252437393E-3</v>
      </c>
      <c r="G22" s="37" t="str">
        <f t="shared" si="1"/>
        <v>-</v>
      </c>
      <c r="H22" s="37" t="str">
        <f t="shared" si="2"/>
        <v>-</v>
      </c>
      <c r="I22" s="37">
        <f t="shared" si="3"/>
        <v>6.8779496011961176E-3</v>
      </c>
      <c r="J22" s="37">
        <f t="shared" si="4"/>
        <v>1.9788612240476235E-3</v>
      </c>
      <c r="K22" s="37">
        <f t="shared" si="5"/>
        <v>8.8568108252437411E-3</v>
      </c>
      <c r="L22" s="13"/>
      <c r="M22" s="13"/>
      <c r="N22" s="13">
        <v>384146</v>
      </c>
      <c r="O22" s="13">
        <v>110523</v>
      </c>
      <c r="P22" s="13">
        <f>L22+M22+N22+O22</f>
        <v>494669</v>
      </c>
      <c r="Q22" s="14" t="str">
        <f t="shared" si="11"/>
        <v>0</v>
      </c>
      <c r="R22" s="14" t="str">
        <f t="shared" si="11"/>
        <v>0</v>
      </c>
      <c r="S22" s="14">
        <f t="shared" si="11"/>
        <v>593.77405913978498</v>
      </c>
      <c r="T22" s="14">
        <f t="shared" si="11"/>
        <v>170.83528225806452</v>
      </c>
      <c r="U22" s="14">
        <f t="shared" si="12"/>
        <v>764.60934139784945</v>
      </c>
    </row>
    <row r="23" spans="1:23" x14ac:dyDescent="0.25">
      <c r="A23" s="10" t="s">
        <v>13</v>
      </c>
      <c r="B23" s="37">
        <f t="shared" si="0"/>
        <v>1.1107462657409519E-2</v>
      </c>
      <c r="C23" s="37" t="str">
        <f t="shared" si="6"/>
        <v>-</v>
      </c>
      <c r="D23" s="37">
        <f t="shared" si="7"/>
        <v>3.6175723839958584E-3</v>
      </c>
      <c r="E23" s="37">
        <f t="shared" si="8"/>
        <v>6.1500592597972031E-3</v>
      </c>
      <c r="F23" s="37">
        <f t="shared" si="9"/>
        <v>2.0875094301202581E-2</v>
      </c>
      <c r="G23" s="37">
        <f t="shared" si="1"/>
        <v>1.1107462657409519E-2</v>
      </c>
      <c r="H23" s="37" t="str">
        <f t="shared" si="2"/>
        <v>-</v>
      </c>
      <c r="I23" s="37">
        <f t="shared" si="3"/>
        <v>3.617572383995858E-3</v>
      </c>
      <c r="J23" s="37">
        <f t="shared" si="4"/>
        <v>6.1500592597972031E-3</v>
      </c>
      <c r="K23" s="37">
        <f t="shared" si="5"/>
        <v>2.0875094301202581E-2</v>
      </c>
      <c r="L23" s="13">
        <v>620372</v>
      </c>
      <c r="M23" s="13"/>
      <c r="N23" s="13">
        <v>202048</v>
      </c>
      <c r="O23" s="13">
        <v>343492</v>
      </c>
      <c r="P23" s="13">
        <f>L23+M23+N23+O23</f>
        <v>1165912</v>
      </c>
      <c r="Q23" s="14">
        <f t="shared" si="11"/>
        <v>958.9083333333333</v>
      </c>
      <c r="R23" s="14" t="str">
        <f t="shared" si="11"/>
        <v>0</v>
      </c>
      <c r="S23" s="14">
        <f t="shared" si="11"/>
        <v>312.30537634408597</v>
      </c>
      <c r="T23" s="14">
        <f t="shared" si="11"/>
        <v>530.93521505376339</v>
      </c>
      <c r="U23" s="14">
        <f t="shared" si="12"/>
        <v>1802.1489247311827</v>
      </c>
    </row>
    <row r="24" spans="1:23" x14ac:dyDescent="0.25">
      <c r="A24" s="30" t="s">
        <v>14</v>
      </c>
      <c r="B24" s="37" t="str">
        <f t="shared" si="0"/>
        <v>-</v>
      </c>
      <c r="C24" s="37" t="str">
        <f t="shared" si="6"/>
        <v>-</v>
      </c>
      <c r="D24" s="37">
        <f t="shared" si="7"/>
        <v>1.2716470219276858E-2</v>
      </c>
      <c r="E24" s="37">
        <f t="shared" si="8"/>
        <v>1.2625837540864861E-2</v>
      </c>
      <c r="F24" s="37">
        <f t="shared" si="9"/>
        <v>2.5342307760141718E-2</v>
      </c>
      <c r="G24" s="37" t="str">
        <f t="shared" si="1"/>
        <v>-</v>
      </c>
      <c r="H24" s="37" t="str">
        <f t="shared" si="2"/>
        <v>-</v>
      </c>
      <c r="I24" s="37">
        <f t="shared" si="3"/>
        <v>1.2716470219276858E-2</v>
      </c>
      <c r="J24" s="37">
        <f t="shared" si="4"/>
        <v>1.2625837540864861E-2</v>
      </c>
      <c r="K24" s="37">
        <f t="shared" si="5"/>
        <v>2.5342307760141718E-2</v>
      </c>
      <c r="L24" s="13"/>
      <c r="M24" s="13"/>
      <c r="N24" s="13">
        <v>710238</v>
      </c>
      <c r="O24" s="13">
        <v>705176</v>
      </c>
      <c r="P24" s="13">
        <f>L24+M24+N24+O24</f>
        <v>1415414</v>
      </c>
      <c r="Q24" s="14" t="str">
        <f t="shared" si="11"/>
        <v>0</v>
      </c>
      <c r="R24" s="14" t="str">
        <f t="shared" si="11"/>
        <v>0</v>
      </c>
      <c r="S24" s="14">
        <f t="shared" si="11"/>
        <v>1097.8141129032258</v>
      </c>
      <c r="T24" s="14">
        <f t="shared" si="11"/>
        <v>1089.9897849462366</v>
      </c>
      <c r="U24" s="14">
        <f t="shared" si="12"/>
        <v>2187.8038978494624</v>
      </c>
    </row>
    <row r="25" spans="1:23" x14ac:dyDescent="0.25">
      <c r="A25" s="10" t="s">
        <v>15</v>
      </c>
      <c r="B25" s="37" t="str">
        <f t="shared" si="0"/>
        <v>-</v>
      </c>
      <c r="C25" s="37" t="str">
        <f t="shared" si="6"/>
        <v>-</v>
      </c>
      <c r="D25" s="37">
        <f t="shared" si="7"/>
        <v>5.7796147484688344E-3</v>
      </c>
      <c r="E25" s="37">
        <f t="shared" si="8"/>
        <v>8.4271918765088816E-3</v>
      </c>
      <c r="F25" s="37">
        <f t="shared" si="9"/>
        <v>1.4206806624977716E-2</v>
      </c>
      <c r="G25" s="37" t="str">
        <f t="shared" si="1"/>
        <v>-</v>
      </c>
      <c r="H25" s="37" t="str">
        <f t="shared" si="2"/>
        <v>-</v>
      </c>
      <c r="I25" s="37">
        <f t="shared" si="3"/>
        <v>5.7796147484688344E-3</v>
      </c>
      <c r="J25" s="37">
        <f t="shared" si="4"/>
        <v>8.4271918765088816E-3</v>
      </c>
      <c r="K25" s="37">
        <f t="shared" si="5"/>
        <v>1.4206806624977716E-2</v>
      </c>
      <c r="L25" s="13"/>
      <c r="M25" s="13"/>
      <c r="N25" s="12">
        <v>322802</v>
      </c>
      <c r="O25" s="12">
        <v>470674</v>
      </c>
      <c r="P25" s="13">
        <f>L25+M25+N25+O25</f>
        <v>793476</v>
      </c>
      <c r="Q25" s="14" t="str">
        <f t="shared" si="11"/>
        <v>0</v>
      </c>
      <c r="R25" s="14" t="str">
        <f t="shared" si="11"/>
        <v>0</v>
      </c>
      <c r="S25" s="14">
        <f t="shared" si="11"/>
        <v>498.95470430107525</v>
      </c>
      <c r="T25" s="14">
        <f t="shared" si="11"/>
        <v>727.52029569892466</v>
      </c>
      <c r="U25" s="14">
        <f t="shared" si="12"/>
        <v>1226.4749999999999</v>
      </c>
    </row>
    <row r="26" spans="1:23" x14ac:dyDescent="0.25">
      <c r="A26" s="10" t="s">
        <v>16</v>
      </c>
      <c r="B26" s="37" t="str">
        <f t="shared" si="0"/>
        <v>-</v>
      </c>
      <c r="C26" s="37" t="str">
        <f t="shared" si="6"/>
        <v>-</v>
      </c>
      <c r="D26" s="37">
        <f t="shared" si="7"/>
        <v>1.3226122370797497E-2</v>
      </c>
      <c r="E26" s="37">
        <f t="shared" si="8"/>
        <v>1.503053986000354E-2</v>
      </c>
      <c r="F26" s="37">
        <f t="shared" si="9"/>
        <v>2.8256662230801036E-2</v>
      </c>
      <c r="G26" s="37" t="str">
        <f t="shared" si="1"/>
        <v>-</v>
      </c>
      <c r="H26" s="37" t="str">
        <f t="shared" si="2"/>
        <v>-</v>
      </c>
      <c r="I26" s="37">
        <f t="shared" si="3"/>
        <v>1.3226122370797497E-2</v>
      </c>
      <c r="J26" s="37">
        <f t="shared" si="4"/>
        <v>1.5030539860003538E-2</v>
      </c>
      <c r="K26" s="37">
        <f t="shared" si="5"/>
        <v>2.8256662230801033E-2</v>
      </c>
      <c r="L26" s="13"/>
      <c r="M26" s="13"/>
      <c r="N26" s="12">
        <v>738703</v>
      </c>
      <c r="O26" s="12">
        <v>839483</v>
      </c>
      <c r="P26" s="13">
        <f>L26+M26+N26+O26</f>
        <v>1578186</v>
      </c>
      <c r="Q26" s="14" t="str">
        <f t="shared" si="11"/>
        <v>0</v>
      </c>
      <c r="R26" s="14" t="str">
        <f t="shared" si="11"/>
        <v>0</v>
      </c>
      <c r="S26" s="14">
        <f t="shared" si="11"/>
        <v>1141.8124327956989</v>
      </c>
      <c r="T26" s="14">
        <f t="shared" si="11"/>
        <v>1297.5879704301074</v>
      </c>
      <c r="U26" s="14">
        <f t="shared" si="12"/>
        <v>2439.4004032258063</v>
      </c>
    </row>
    <row r="27" spans="1:23" x14ac:dyDescent="0.25">
      <c r="A27" s="10" t="s">
        <v>49</v>
      </c>
      <c r="B27" s="37" t="str">
        <f t="shared" si="0"/>
        <v>-</v>
      </c>
      <c r="C27" s="37" t="str">
        <f t="shared" si="6"/>
        <v>-</v>
      </c>
      <c r="D27" s="37">
        <f t="shared" si="7"/>
        <v>1.6474664700516456E-3</v>
      </c>
      <c r="E27" s="37">
        <f t="shared" si="8"/>
        <v>2.8441329446356417E-4</v>
      </c>
      <c r="F27" s="37">
        <f t="shared" si="9"/>
        <v>1.9318797645152099E-3</v>
      </c>
      <c r="G27" s="37" t="str">
        <f t="shared" si="1"/>
        <v>-</v>
      </c>
      <c r="H27" s="37" t="str">
        <f t="shared" si="2"/>
        <v>-</v>
      </c>
      <c r="I27" s="37">
        <f t="shared" si="3"/>
        <v>1.6474664700516456E-3</v>
      </c>
      <c r="J27" s="37">
        <f t="shared" si="4"/>
        <v>2.8441329446356412E-4</v>
      </c>
      <c r="K27" s="37">
        <f t="shared" si="5"/>
        <v>1.9318797645152099E-3</v>
      </c>
      <c r="L27" s="13"/>
      <c r="M27" s="13"/>
      <c r="N27" s="13">
        <v>92014</v>
      </c>
      <c r="O27" s="13">
        <v>15885</v>
      </c>
      <c r="P27" s="13">
        <f>N27+O27</f>
        <v>107899</v>
      </c>
      <c r="Q27" s="14" t="str">
        <f t="shared" si="11"/>
        <v>0</v>
      </c>
      <c r="R27" s="14" t="str">
        <f t="shared" si="11"/>
        <v>0</v>
      </c>
      <c r="S27" s="14">
        <f t="shared" si="11"/>
        <v>142.22594086021505</v>
      </c>
      <c r="T27" s="14">
        <f t="shared" si="11"/>
        <v>24.553427419354836</v>
      </c>
      <c r="U27" s="14">
        <f t="shared" si="12"/>
        <v>166.77936827956989</v>
      </c>
    </row>
    <row r="28" spans="1:23" x14ac:dyDescent="0.25">
      <c r="A28" s="10" t="s">
        <v>48</v>
      </c>
      <c r="B28" s="37">
        <f t="shared" si="0"/>
        <v>3.870240965139693E-3</v>
      </c>
      <c r="C28" s="37" t="str">
        <f t="shared" si="6"/>
        <v>-</v>
      </c>
      <c r="D28" s="37">
        <f t="shared" si="7"/>
        <v>9.8501714793282845E-4</v>
      </c>
      <c r="E28" s="37">
        <f t="shared" si="8"/>
        <v>7.0749709353023214E-4</v>
      </c>
      <c r="F28" s="37">
        <f t="shared" si="9"/>
        <v>5.562755206602754E-3</v>
      </c>
      <c r="G28" s="37">
        <f t="shared" si="1"/>
        <v>3.8702409651396935E-3</v>
      </c>
      <c r="H28" s="37" t="str">
        <f t="shared" si="2"/>
        <v>-</v>
      </c>
      <c r="I28" s="37">
        <f t="shared" si="3"/>
        <v>9.8501714793282845E-4</v>
      </c>
      <c r="J28" s="37">
        <f t="shared" si="4"/>
        <v>7.0749709353023203E-4</v>
      </c>
      <c r="K28" s="37">
        <f t="shared" si="5"/>
        <v>5.562755206602754E-3</v>
      </c>
      <c r="L28" s="13">
        <v>216160</v>
      </c>
      <c r="M28" s="13"/>
      <c r="N28" s="13">
        <v>55015</v>
      </c>
      <c r="O28" s="13">
        <v>39515</v>
      </c>
      <c r="P28" s="13">
        <f t="shared" ref="P28" si="14">SUM(L28:O28)</f>
        <v>310690</v>
      </c>
      <c r="Q28" s="14">
        <f t="shared" si="11"/>
        <v>334.11827956989248</v>
      </c>
      <c r="R28" s="14" t="str">
        <f t="shared" si="11"/>
        <v>0</v>
      </c>
      <c r="S28" s="14">
        <f t="shared" si="11"/>
        <v>85.036626344086002</v>
      </c>
      <c r="T28" s="14">
        <f t="shared" si="11"/>
        <v>61.078293010752681</v>
      </c>
      <c r="U28" s="14">
        <f t="shared" si="12"/>
        <v>480.2331989247312</v>
      </c>
    </row>
    <row r="29" spans="1:23" x14ac:dyDescent="0.25">
      <c r="A29" s="10" t="s">
        <v>47</v>
      </c>
      <c r="B29" s="37" t="str">
        <f t="shared" si="0"/>
        <v>-</v>
      </c>
      <c r="C29" s="37" t="str">
        <f t="shared" si="6"/>
        <v>-</v>
      </c>
      <c r="D29" s="37">
        <f t="shared" si="7"/>
        <v>3.4081969313388286E-3</v>
      </c>
      <c r="E29" s="37">
        <f t="shared" si="8"/>
        <v>5.9366015766625091E-4</v>
      </c>
      <c r="F29" s="37">
        <f t="shared" si="9"/>
        <v>4.0018570890050795E-3</v>
      </c>
      <c r="G29" s="37" t="str">
        <f t="shared" si="1"/>
        <v>-</v>
      </c>
      <c r="H29" s="37" t="str">
        <f t="shared" si="2"/>
        <v>-</v>
      </c>
      <c r="I29" s="37">
        <f t="shared" si="3"/>
        <v>3.4081969313388282E-3</v>
      </c>
      <c r="J29" s="37">
        <f t="shared" si="4"/>
        <v>5.9366015766625091E-4</v>
      </c>
      <c r="K29" s="37">
        <f t="shared" si="5"/>
        <v>4.0018570890050786E-3</v>
      </c>
      <c r="L29" s="13"/>
      <c r="M29" s="13"/>
      <c r="N29" s="13">
        <f>69298+121056</f>
        <v>190354</v>
      </c>
      <c r="O29" s="13">
        <v>33157</v>
      </c>
      <c r="P29" s="13">
        <f>N29+O29</f>
        <v>223511</v>
      </c>
      <c r="Q29" s="14" t="str">
        <f t="shared" si="11"/>
        <v>0</v>
      </c>
      <c r="R29" s="14" t="str">
        <f t="shared" si="11"/>
        <v>0</v>
      </c>
      <c r="S29" s="14">
        <f t="shared" si="11"/>
        <v>294.22997311827953</v>
      </c>
      <c r="T29" s="14">
        <f t="shared" si="11"/>
        <v>51.25073924731182</v>
      </c>
      <c r="U29" s="14">
        <f t="shared" si="12"/>
        <v>345.48071236559133</v>
      </c>
      <c r="W29" s="15"/>
    </row>
    <row r="30" spans="1:23" x14ac:dyDescent="0.25">
      <c r="A30" s="10" t="s">
        <v>45</v>
      </c>
      <c r="B30" s="37" t="str">
        <f t="shared" si="0"/>
        <v>-</v>
      </c>
      <c r="C30" s="37" t="str">
        <f t="shared" si="6"/>
        <v>-</v>
      </c>
      <c r="D30" s="37">
        <f t="shared" si="7"/>
        <v>1.4447694032199169E-3</v>
      </c>
      <c r="E30" s="37">
        <f t="shared" si="8"/>
        <v>5.460036977434515E-3</v>
      </c>
      <c r="F30" s="37">
        <f t="shared" si="9"/>
        <v>6.9048063806544328E-3</v>
      </c>
      <c r="G30" s="37" t="str">
        <f t="shared" si="1"/>
        <v>-</v>
      </c>
      <c r="H30" s="37" t="str">
        <f t="shared" si="2"/>
        <v>-</v>
      </c>
      <c r="I30" s="37">
        <f t="shared" si="3"/>
        <v>1.4447694032199167E-3</v>
      </c>
      <c r="J30" s="37">
        <f t="shared" si="4"/>
        <v>5.460036977434515E-3</v>
      </c>
      <c r="K30" s="37">
        <f t="shared" si="5"/>
        <v>6.9048063806544319E-3</v>
      </c>
      <c r="L30" s="13"/>
      <c r="M30" s="13"/>
      <c r="N30" s="13">
        <v>80693</v>
      </c>
      <c r="O30" s="13">
        <v>304953</v>
      </c>
      <c r="P30" s="13">
        <f>N30+O30</f>
        <v>385646</v>
      </c>
      <c r="Q30" s="14" t="str">
        <f t="shared" si="11"/>
        <v>0</v>
      </c>
      <c r="R30" s="14" t="str">
        <f t="shared" si="11"/>
        <v>0</v>
      </c>
      <c r="S30" s="14">
        <f t="shared" si="11"/>
        <v>124.72708333333331</v>
      </c>
      <c r="T30" s="14">
        <f t="shared" si="11"/>
        <v>471.36552419354837</v>
      </c>
      <c r="U30" s="14">
        <f t="shared" si="12"/>
        <v>596.09260752688169</v>
      </c>
    </row>
    <row r="31" spans="1:23" x14ac:dyDescent="0.25">
      <c r="A31" s="10" t="s">
        <v>30</v>
      </c>
      <c r="B31" s="37" t="str">
        <f t="shared" si="0"/>
        <v>-</v>
      </c>
      <c r="C31" s="37" t="str">
        <f t="shared" si="6"/>
        <v>-</v>
      </c>
      <c r="D31" s="37">
        <f t="shared" si="7"/>
        <v>5.9602355425858271E-4</v>
      </c>
      <c r="E31" s="37">
        <f t="shared" si="8"/>
        <v>2.4431612273229869E-3</v>
      </c>
      <c r="F31" s="37">
        <f t="shared" si="9"/>
        <v>3.0391847815815698E-3</v>
      </c>
      <c r="G31" s="37" t="str">
        <f t="shared" si="1"/>
        <v>-</v>
      </c>
      <c r="H31" s="37" t="str">
        <f t="shared" si="2"/>
        <v>-</v>
      </c>
      <c r="I31" s="37">
        <f t="shared" si="3"/>
        <v>5.9602355425858271E-4</v>
      </c>
      <c r="J31" s="37">
        <f t="shared" si="4"/>
        <v>2.4431612273229869E-3</v>
      </c>
      <c r="K31" s="37">
        <f t="shared" si="5"/>
        <v>3.0391847815815698E-3</v>
      </c>
      <c r="L31" s="13"/>
      <c r="M31" s="13"/>
      <c r="N31" s="13">
        <v>33289</v>
      </c>
      <c r="O31" s="13">
        <v>136455</v>
      </c>
      <c r="P31" s="13">
        <f>SUM(L31:O31)</f>
        <v>169744</v>
      </c>
      <c r="Q31" s="14" t="str">
        <f t="shared" si="11"/>
        <v>0</v>
      </c>
      <c r="R31" s="14" t="str">
        <f t="shared" si="11"/>
        <v>0</v>
      </c>
      <c r="S31" s="14">
        <f t="shared" si="11"/>
        <v>51.454771505376335</v>
      </c>
      <c r="T31" s="14">
        <f t="shared" si="11"/>
        <v>210.91834677419354</v>
      </c>
      <c r="U31" s="14">
        <f t="shared" si="12"/>
        <v>262.37311827956989</v>
      </c>
    </row>
    <row r="32" spans="1:23" x14ac:dyDescent="0.25">
      <c r="A32" s="10" t="s">
        <v>50</v>
      </c>
      <c r="B32" s="37">
        <f t="shared" si="0"/>
        <v>3.0883326879902876E-3</v>
      </c>
      <c r="C32" s="37" t="str">
        <f t="shared" si="6"/>
        <v>-</v>
      </c>
      <c r="D32" s="37">
        <f t="shared" si="7"/>
        <v>5.7735451163112546E-3</v>
      </c>
      <c r="E32" s="37">
        <f t="shared" si="8"/>
        <v>1.2738886677864732E-3</v>
      </c>
      <c r="F32" s="37">
        <f t="shared" si="9"/>
        <v>1.0135766472088015E-2</v>
      </c>
      <c r="G32" s="37">
        <f t="shared" si="1"/>
        <v>3.0883326879902872E-3</v>
      </c>
      <c r="H32" s="37" t="str">
        <f t="shared" si="2"/>
        <v>-</v>
      </c>
      <c r="I32" s="37">
        <f t="shared" si="3"/>
        <v>5.7735451163112546E-3</v>
      </c>
      <c r="J32" s="37">
        <f t="shared" si="4"/>
        <v>1.273888667786473E-3</v>
      </c>
      <c r="K32" s="37">
        <f t="shared" si="5"/>
        <v>1.0135766472088015E-2</v>
      </c>
      <c r="L32" s="13">
        <v>172489</v>
      </c>
      <c r="M32" s="13"/>
      <c r="N32" s="13">
        <v>322463</v>
      </c>
      <c r="O32" s="13">
        <v>71149</v>
      </c>
      <c r="P32" s="13">
        <f>L32+M32+N32+O32</f>
        <v>566101</v>
      </c>
      <c r="Q32" s="14">
        <f t="shared" si="11"/>
        <v>266.61606182795697</v>
      </c>
      <c r="R32" s="14" t="str">
        <f t="shared" si="11"/>
        <v>0</v>
      </c>
      <c r="S32" s="14">
        <f t="shared" si="11"/>
        <v>498.43071236559138</v>
      </c>
      <c r="T32" s="14">
        <f t="shared" si="11"/>
        <v>109.9749327956989</v>
      </c>
      <c r="U32" s="14">
        <f t="shared" si="12"/>
        <v>875.02170698924726</v>
      </c>
    </row>
    <row r="33" spans="1:21" x14ac:dyDescent="0.25">
      <c r="A33" s="10" t="s">
        <v>17</v>
      </c>
      <c r="B33" s="37" t="str">
        <f t="shared" si="0"/>
        <v>-</v>
      </c>
      <c r="C33" s="37" t="str">
        <f t="shared" si="6"/>
        <v>-</v>
      </c>
      <c r="D33" s="37">
        <f t="shared" si="7"/>
        <v>2.8126371041388924E-2</v>
      </c>
      <c r="E33" s="37">
        <f t="shared" si="8"/>
        <v>1.5075498108816759E-2</v>
      </c>
      <c r="F33" s="37">
        <f t="shared" si="9"/>
        <v>4.3201869150205685E-2</v>
      </c>
      <c r="G33" s="37" t="str">
        <f t="shared" si="1"/>
        <v>-</v>
      </c>
      <c r="H33" s="37" t="str">
        <f t="shared" si="2"/>
        <v>-</v>
      </c>
      <c r="I33" s="37">
        <f t="shared" si="3"/>
        <v>2.8126371041388928E-2</v>
      </c>
      <c r="J33" s="37">
        <f t="shared" si="4"/>
        <v>1.5075498108816759E-2</v>
      </c>
      <c r="K33" s="37">
        <f t="shared" si="5"/>
        <v>4.3201869150205685E-2</v>
      </c>
      <c r="L33" s="13"/>
      <c r="M33" s="13"/>
      <c r="N33" s="13">
        <v>1570909</v>
      </c>
      <c r="O33" s="13">
        <v>841994</v>
      </c>
      <c r="P33" s="13">
        <f>L33+M33+N33+O33</f>
        <v>2412903</v>
      </c>
      <c r="Q33" s="14" t="str">
        <f t="shared" si="11"/>
        <v>0</v>
      </c>
      <c r="R33" s="14" t="str">
        <f t="shared" si="11"/>
        <v>0</v>
      </c>
      <c r="S33" s="14">
        <f t="shared" si="11"/>
        <v>2428.1523521505378</v>
      </c>
      <c r="T33" s="14">
        <f t="shared" si="11"/>
        <v>1301.4692204301075</v>
      </c>
      <c r="U33" s="14">
        <f t="shared" si="12"/>
        <v>3729.6215725806451</v>
      </c>
    </row>
    <row r="34" spans="1:21" x14ac:dyDescent="0.25">
      <c r="A34" s="10" t="s">
        <v>18</v>
      </c>
      <c r="B34" s="37">
        <f t="shared" si="0"/>
        <v>5.513267114320897E-3</v>
      </c>
      <c r="C34" s="37" t="str">
        <f t="shared" si="6"/>
        <v>-</v>
      </c>
      <c r="D34" s="37">
        <f t="shared" si="7"/>
        <v>5.570341351573746E-2</v>
      </c>
      <c r="E34" s="37">
        <f t="shared" si="8"/>
        <v>2.6422881329387235E-2</v>
      </c>
      <c r="F34" s="37">
        <f t="shared" si="9"/>
        <v>8.7639561959445597E-2</v>
      </c>
      <c r="G34" s="37">
        <f t="shared" si="1"/>
        <v>5.513267114320897E-3</v>
      </c>
      <c r="H34" s="37" t="str">
        <f t="shared" si="2"/>
        <v>-</v>
      </c>
      <c r="I34" s="37">
        <f t="shared" si="3"/>
        <v>5.5703413515737453E-2</v>
      </c>
      <c r="J34" s="37">
        <f t="shared" si="4"/>
        <v>2.6422881329387232E-2</v>
      </c>
      <c r="K34" s="37">
        <f t="shared" si="5"/>
        <v>8.7639561959445583E-2</v>
      </c>
      <c r="L34" s="13">
        <v>307926</v>
      </c>
      <c r="M34" s="13"/>
      <c r="N34" s="13">
        <v>3111137</v>
      </c>
      <c r="O34" s="13">
        <v>1475766</v>
      </c>
      <c r="P34" s="13">
        <f>SUM(L34:O34)</f>
        <v>4894829</v>
      </c>
      <c r="Q34" s="14">
        <f t="shared" si="11"/>
        <v>475.96088709677417</v>
      </c>
      <c r="R34" s="14" t="str">
        <f t="shared" si="11"/>
        <v>0</v>
      </c>
      <c r="S34" s="14">
        <f t="shared" si="11"/>
        <v>4808.8811155913972</v>
      </c>
      <c r="T34" s="14">
        <f t="shared" si="11"/>
        <v>2281.0899193548385</v>
      </c>
      <c r="U34" s="14">
        <f t="shared" si="12"/>
        <v>7565.9319220430098</v>
      </c>
    </row>
    <row r="35" spans="1:21" x14ac:dyDescent="0.25">
      <c r="A35" s="10" t="s">
        <v>19</v>
      </c>
      <c r="B35" s="37" t="str">
        <f t="shared" si="0"/>
        <v>-</v>
      </c>
      <c r="C35" s="37" t="str">
        <f t="shared" si="6"/>
        <v>-</v>
      </c>
      <c r="D35" s="37">
        <f t="shared" si="7"/>
        <v>2.4013183649269306E-3</v>
      </c>
      <c r="E35" s="37">
        <f t="shared" si="8"/>
        <v>1.9306443526601273E-3</v>
      </c>
      <c r="F35" s="37">
        <f t="shared" si="9"/>
        <v>4.3319627175870583E-3</v>
      </c>
      <c r="G35" s="37" t="str">
        <f t="shared" si="1"/>
        <v>-</v>
      </c>
      <c r="H35" s="37" t="str">
        <f t="shared" si="2"/>
        <v>-</v>
      </c>
      <c r="I35" s="37">
        <f t="shared" si="3"/>
        <v>2.4013183649269311E-3</v>
      </c>
      <c r="J35" s="37">
        <f t="shared" si="4"/>
        <v>1.9306443526601273E-3</v>
      </c>
      <c r="K35" s="37">
        <f t="shared" si="5"/>
        <v>4.3319627175870583E-3</v>
      </c>
      <c r="L35" s="13"/>
      <c r="M35" s="13"/>
      <c r="N35" s="12">
        <v>134118</v>
      </c>
      <c r="O35" s="12">
        <v>107830</v>
      </c>
      <c r="P35" s="13">
        <f>SUM(L35:O35)</f>
        <v>241948</v>
      </c>
      <c r="Q35" s="14" t="str">
        <f t="shared" si="11"/>
        <v>0</v>
      </c>
      <c r="R35" s="14" t="str">
        <f t="shared" si="11"/>
        <v>0</v>
      </c>
      <c r="S35" s="14">
        <f t="shared" si="11"/>
        <v>207.30604838709678</v>
      </c>
      <c r="T35" s="14">
        <f t="shared" si="11"/>
        <v>166.67271505376343</v>
      </c>
      <c r="U35" s="14">
        <f t="shared" si="12"/>
        <v>373.97876344086023</v>
      </c>
    </row>
    <row r="36" spans="1:21" x14ac:dyDescent="0.25">
      <c r="A36" s="10" t="s">
        <v>20</v>
      </c>
      <c r="B36" s="37">
        <f t="shared" si="0"/>
        <v>2.7551832910696996E-3</v>
      </c>
      <c r="C36" s="37" t="str">
        <f t="shared" si="6"/>
        <v>-</v>
      </c>
      <c r="D36" s="37">
        <f t="shared" si="7"/>
        <v>1.4447855172875919E-2</v>
      </c>
      <c r="E36" s="37" t="str">
        <f t="shared" si="8"/>
        <v>-</v>
      </c>
      <c r="F36" s="37">
        <f t="shared" si="9"/>
        <v>1.7203038463945618E-2</v>
      </c>
      <c r="G36" s="37">
        <f t="shared" si="1"/>
        <v>2.7551832910696996E-3</v>
      </c>
      <c r="H36" s="37" t="str">
        <f t="shared" si="2"/>
        <v>-</v>
      </c>
      <c r="I36" s="37">
        <f t="shared" si="3"/>
        <v>1.4447855172875919E-2</v>
      </c>
      <c r="J36" s="37" t="str">
        <f t="shared" si="4"/>
        <v>-</v>
      </c>
      <c r="K36" s="37">
        <f t="shared" si="5"/>
        <v>1.7203038463945618E-2</v>
      </c>
      <c r="L36" s="13">
        <v>153882</v>
      </c>
      <c r="M36" s="13"/>
      <c r="N36" s="13">
        <v>806939</v>
      </c>
      <c r="O36" s="13"/>
      <c r="P36" s="13">
        <f t="shared" ref="P36:P45" si="15">L36+M36+N36+O36</f>
        <v>960821</v>
      </c>
      <c r="Q36" s="14">
        <f t="shared" si="11"/>
        <v>237.85524193548386</v>
      </c>
      <c r="R36" s="14" t="str">
        <f t="shared" si="11"/>
        <v>0</v>
      </c>
      <c r="S36" s="14">
        <f t="shared" si="11"/>
        <v>1247.2847446236558</v>
      </c>
      <c r="T36" s="14" t="str">
        <f t="shared" si="11"/>
        <v>0</v>
      </c>
      <c r="U36" s="14">
        <f t="shared" si="12"/>
        <v>1485.1399865591397</v>
      </c>
    </row>
    <row r="37" spans="1:21" x14ac:dyDescent="0.25">
      <c r="A37" s="10" t="s">
        <v>21</v>
      </c>
      <c r="B37" s="37">
        <f t="shared" si="0"/>
        <v>2.47321754444077E-2</v>
      </c>
      <c r="C37" s="37">
        <f t="shared" si="6"/>
        <v>3.6417255809887035E-3</v>
      </c>
      <c r="D37" s="37">
        <f t="shared" si="7"/>
        <v>4.0323395336902677E-2</v>
      </c>
      <c r="E37" s="37">
        <f t="shared" si="8"/>
        <v>1.0750446535810308E-2</v>
      </c>
      <c r="F37" s="37">
        <f t="shared" si="9"/>
        <v>7.9447742898109394E-2</v>
      </c>
      <c r="G37" s="37">
        <f t="shared" si="1"/>
        <v>2.47321754444077E-2</v>
      </c>
      <c r="H37" s="37">
        <f t="shared" si="2"/>
        <v>3.6417255809887031E-3</v>
      </c>
      <c r="I37" s="37">
        <f t="shared" si="3"/>
        <v>4.032339533690267E-2</v>
      </c>
      <c r="J37" s="37">
        <f t="shared" si="4"/>
        <v>1.0750446535810308E-2</v>
      </c>
      <c r="K37" s="37">
        <f t="shared" si="5"/>
        <v>7.9447742898109394E-2</v>
      </c>
      <c r="L37" s="13">
        <v>1381337</v>
      </c>
      <c r="M37" s="13">
        <v>203397</v>
      </c>
      <c r="N37" s="13">
        <v>2252135</v>
      </c>
      <c r="O37" s="13">
        <v>600432</v>
      </c>
      <c r="P37" s="13">
        <f t="shared" si="15"/>
        <v>4437301</v>
      </c>
      <c r="Q37" s="14">
        <f t="shared" si="11"/>
        <v>2135.1311155913977</v>
      </c>
      <c r="R37" s="14">
        <f t="shared" si="11"/>
        <v>314.39052419354834</v>
      </c>
      <c r="S37" s="14">
        <f t="shared" si="11"/>
        <v>3481.1226478494618</v>
      </c>
      <c r="T37" s="14">
        <f t="shared" si="11"/>
        <v>928.08709677419347</v>
      </c>
      <c r="U37" s="14">
        <f t="shared" si="12"/>
        <v>6858.731384408602</v>
      </c>
    </row>
    <row r="38" spans="1:21" x14ac:dyDescent="0.25">
      <c r="A38" s="10" t="s">
        <v>22</v>
      </c>
      <c r="B38" s="37" t="str">
        <f t="shared" si="0"/>
        <v>-</v>
      </c>
      <c r="C38" s="37" t="str">
        <f t="shared" si="6"/>
        <v>-</v>
      </c>
      <c r="D38" s="37">
        <f t="shared" si="7"/>
        <v>1.6702607140039002E-2</v>
      </c>
      <c r="E38" s="37">
        <f t="shared" si="8"/>
        <v>1.6280651325709584E-2</v>
      </c>
      <c r="F38" s="37">
        <f t="shared" si="9"/>
        <v>3.2983258465748587E-2</v>
      </c>
      <c r="G38" s="37" t="str">
        <f t="shared" si="1"/>
        <v>-</v>
      </c>
      <c r="H38" s="37" t="str">
        <f t="shared" si="2"/>
        <v>-</v>
      </c>
      <c r="I38" s="37">
        <f t="shared" si="3"/>
        <v>1.6702607140039002E-2</v>
      </c>
      <c r="J38" s="37">
        <f t="shared" si="4"/>
        <v>1.6280651325709584E-2</v>
      </c>
      <c r="K38" s="37">
        <f t="shared" si="5"/>
        <v>3.2983258465748587E-2</v>
      </c>
      <c r="L38" s="13"/>
      <c r="M38" s="13"/>
      <c r="N38" s="1">
        <v>932871</v>
      </c>
      <c r="O38" s="1">
        <v>909304</v>
      </c>
      <c r="P38" s="13">
        <f t="shared" si="15"/>
        <v>1842175</v>
      </c>
      <c r="Q38" s="14" t="str">
        <f t="shared" si="11"/>
        <v>0</v>
      </c>
      <c r="R38" s="14" t="str">
        <f t="shared" si="11"/>
        <v>0</v>
      </c>
      <c r="S38" s="14">
        <f t="shared" si="11"/>
        <v>1441.9377016129031</v>
      </c>
      <c r="T38" s="14">
        <f t="shared" si="11"/>
        <v>1405.5102150537634</v>
      </c>
      <c r="U38" s="14">
        <f t="shared" si="12"/>
        <v>2847.4479166666665</v>
      </c>
    </row>
    <row r="39" spans="1:21" x14ac:dyDescent="0.25">
      <c r="A39" s="10" t="s">
        <v>53</v>
      </c>
      <c r="B39" s="37" t="str">
        <f t="shared" si="0"/>
        <v>-</v>
      </c>
      <c r="C39" s="37" t="str">
        <f t="shared" si="6"/>
        <v>-</v>
      </c>
      <c r="D39" s="37">
        <f t="shared" si="7"/>
        <v>4.9106367923155685E-3</v>
      </c>
      <c r="E39" s="37">
        <f t="shared" si="8"/>
        <v>6.209072556526943E-3</v>
      </c>
      <c r="F39" s="37">
        <f t="shared" si="9"/>
        <v>1.1119709348842511E-2</v>
      </c>
      <c r="G39" s="37" t="str">
        <f t="shared" si="1"/>
        <v>-</v>
      </c>
      <c r="H39" s="37" t="str">
        <f t="shared" si="2"/>
        <v>-</v>
      </c>
      <c r="I39" s="37">
        <f t="shared" si="3"/>
        <v>4.9106367923155685E-3</v>
      </c>
      <c r="J39" s="37">
        <f t="shared" si="4"/>
        <v>6.2090725565269421E-3</v>
      </c>
      <c r="K39" s="37">
        <f t="shared" si="5"/>
        <v>1.1119709348842511E-2</v>
      </c>
      <c r="L39" s="13"/>
      <c r="M39" s="13"/>
      <c r="N39" s="13">
        <v>274268</v>
      </c>
      <c r="O39" s="13">
        <v>346788</v>
      </c>
      <c r="P39" s="13">
        <f t="shared" si="15"/>
        <v>621056</v>
      </c>
      <c r="Q39" s="14" t="str">
        <f t="shared" si="11"/>
        <v>0</v>
      </c>
      <c r="R39" s="14" t="str">
        <f t="shared" si="11"/>
        <v>0</v>
      </c>
      <c r="S39" s="14">
        <f t="shared" si="11"/>
        <v>423.93575268817199</v>
      </c>
      <c r="T39" s="14">
        <f t="shared" si="11"/>
        <v>536.02983870967739</v>
      </c>
      <c r="U39" s="14">
        <f t="shared" si="12"/>
        <v>959.96559139784938</v>
      </c>
    </row>
    <row r="40" spans="1:21" x14ac:dyDescent="0.25">
      <c r="A40" s="10" t="s">
        <v>23</v>
      </c>
      <c r="B40" s="37" t="str">
        <f t="shared" si="0"/>
        <v>-</v>
      </c>
      <c r="C40" s="37" t="str">
        <f t="shared" si="6"/>
        <v>-</v>
      </c>
      <c r="D40" s="37">
        <f t="shared" si="7"/>
        <v>3.777853643803087E-4</v>
      </c>
      <c r="E40" s="37">
        <f t="shared" si="8"/>
        <v>1.0551491513583105E-3</v>
      </c>
      <c r="F40" s="37">
        <f t="shared" si="9"/>
        <v>1.4329345157386192E-3</v>
      </c>
      <c r="G40" s="37" t="str">
        <f t="shared" si="1"/>
        <v>-</v>
      </c>
      <c r="H40" s="37" t="str">
        <f t="shared" si="2"/>
        <v>-</v>
      </c>
      <c r="I40" s="37">
        <f t="shared" si="3"/>
        <v>3.7778536438030864E-4</v>
      </c>
      <c r="J40" s="37">
        <f t="shared" si="4"/>
        <v>1.0551491513583105E-3</v>
      </c>
      <c r="K40" s="37">
        <f t="shared" si="5"/>
        <v>1.432934515738619E-3</v>
      </c>
      <c r="L40" s="13"/>
      <c r="M40" s="13"/>
      <c r="N40" s="13">
        <f>14460+6640</f>
        <v>21100</v>
      </c>
      <c r="O40" s="13">
        <v>58932</v>
      </c>
      <c r="P40" s="13">
        <f t="shared" si="15"/>
        <v>80032</v>
      </c>
      <c r="Q40" s="14" t="str">
        <f t="shared" si="11"/>
        <v>0</v>
      </c>
      <c r="R40" s="14" t="str">
        <f t="shared" si="11"/>
        <v>0</v>
      </c>
      <c r="S40" s="14">
        <f t="shared" si="11"/>
        <v>32.614247311827953</v>
      </c>
      <c r="T40" s="14">
        <f t="shared" si="11"/>
        <v>91.091129032258053</v>
      </c>
      <c r="U40" s="14">
        <f t="shared" si="12"/>
        <v>123.70537634408601</v>
      </c>
    </row>
    <row r="41" spans="1:21" x14ac:dyDescent="0.25">
      <c r="A41" s="10" t="s">
        <v>24</v>
      </c>
      <c r="B41" s="37">
        <f t="shared" si="0"/>
        <v>6.1850984047304861E-3</v>
      </c>
      <c r="C41" s="37" t="str">
        <f t="shared" si="6"/>
        <v>-</v>
      </c>
      <c r="D41" s="37">
        <f t="shared" si="7"/>
        <v>1.5632776282576814E-2</v>
      </c>
      <c r="E41" s="37">
        <f t="shared" si="8"/>
        <v>3.9579014932916356E-3</v>
      </c>
      <c r="F41" s="37">
        <f t="shared" si="9"/>
        <v>2.5775776180598935E-2</v>
      </c>
      <c r="G41" s="37">
        <f t="shared" si="1"/>
        <v>6.1850984047304861E-3</v>
      </c>
      <c r="H41" s="37" t="str">
        <f t="shared" si="2"/>
        <v>-</v>
      </c>
      <c r="I41" s="37">
        <f t="shared" si="3"/>
        <v>1.5632776282576814E-2</v>
      </c>
      <c r="J41" s="37">
        <f t="shared" si="4"/>
        <v>3.9579014932916356E-3</v>
      </c>
      <c r="K41" s="37">
        <f t="shared" si="5"/>
        <v>2.5775776180598935E-2</v>
      </c>
      <c r="L41" s="12">
        <v>345449</v>
      </c>
      <c r="M41" s="12"/>
      <c r="N41" s="12">
        <v>873119</v>
      </c>
      <c r="O41" s="12">
        <v>221056</v>
      </c>
      <c r="P41" s="13">
        <f t="shared" si="15"/>
        <v>1439624</v>
      </c>
      <c r="Q41" s="14">
        <f t="shared" si="11"/>
        <v>533.96014784946237</v>
      </c>
      <c r="R41" s="14" t="str">
        <f t="shared" si="11"/>
        <v>0</v>
      </c>
      <c r="S41" s="14">
        <f t="shared" si="11"/>
        <v>1349.5790994623655</v>
      </c>
      <c r="T41" s="14">
        <f t="shared" si="11"/>
        <v>341.68602150537635</v>
      </c>
      <c r="U41" s="14">
        <f t="shared" si="12"/>
        <v>2225.2252688172043</v>
      </c>
    </row>
    <row r="42" spans="1:21" x14ac:dyDescent="0.25">
      <c r="A42" s="10" t="s">
        <v>56</v>
      </c>
      <c r="B42" s="37">
        <f t="shared" si="0"/>
        <v>4.4355582682176018E-3</v>
      </c>
      <c r="C42" s="37" t="str">
        <f t="shared" si="6"/>
        <v>-</v>
      </c>
      <c r="D42" s="37">
        <f t="shared" si="7"/>
        <v>2.7294276395691746E-2</v>
      </c>
      <c r="E42" s="37">
        <f t="shared" si="8"/>
        <v>1.1169018395927979E-3</v>
      </c>
      <c r="F42" s="37">
        <f t="shared" si="9"/>
        <v>3.2846736503502144E-2</v>
      </c>
      <c r="G42" s="37">
        <f t="shared" si="1"/>
        <v>4.4355582682176018E-3</v>
      </c>
      <c r="H42" s="37" t="str">
        <f t="shared" si="2"/>
        <v>-</v>
      </c>
      <c r="I42" s="37">
        <f t="shared" si="3"/>
        <v>2.7294276395691746E-2</v>
      </c>
      <c r="J42" s="37">
        <f t="shared" si="4"/>
        <v>1.1169018395927979E-3</v>
      </c>
      <c r="K42" s="37">
        <f t="shared" si="5"/>
        <v>3.2846736503502144E-2</v>
      </c>
      <c r="L42" s="12">
        <v>247734</v>
      </c>
      <c r="M42" s="12"/>
      <c r="N42" s="12">
        <v>1524435</v>
      </c>
      <c r="O42" s="12">
        <v>62381</v>
      </c>
      <c r="P42" s="13">
        <f t="shared" si="15"/>
        <v>1834550</v>
      </c>
      <c r="Q42" s="14">
        <f t="shared" si="11"/>
        <v>382.92217741935485</v>
      </c>
      <c r="R42" s="14" t="str">
        <f t="shared" si="11"/>
        <v>0</v>
      </c>
      <c r="S42" s="14">
        <f t="shared" si="11"/>
        <v>2356.3175403225805</v>
      </c>
      <c r="T42" s="14">
        <f t="shared" si="11"/>
        <v>96.422244623655899</v>
      </c>
      <c r="U42" s="14">
        <f t="shared" si="12"/>
        <v>2835.6619623655911</v>
      </c>
    </row>
    <row r="43" spans="1:21" x14ac:dyDescent="0.25">
      <c r="A43" s="10" t="s">
        <v>25</v>
      </c>
      <c r="B43" s="37" t="str">
        <f t="shared" si="0"/>
        <v>-</v>
      </c>
      <c r="C43" s="37" t="str">
        <f t="shared" si="6"/>
        <v>-</v>
      </c>
      <c r="D43" s="37">
        <f t="shared" si="7"/>
        <v>8.7462325119540343E-3</v>
      </c>
      <c r="E43" s="37">
        <f t="shared" si="8"/>
        <v>1.0726472384013851E-2</v>
      </c>
      <c r="F43" s="37">
        <f t="shared" si="9"/>
        <v>1.9472704895967887E-2</v>
      </c>
      <c r="G43" s="37" t="str">
        <f t="shared" si="1"/>
        <v>-</v>
      </c>
      <c r="H43" s="37" t="str">
        <f t="shared" si="2"/>
        <v>-</v>
      </c>
      <c r="I43" s="37">
        <f t="shared" si="3"/>
        <v>8.7462325119540361E-3</v>
      </c>
      <c r="J43" s="37">
        <f t="shared" si="4"/>
        <v>1.0726472384013851E-2</v>
      </c>
      <c r="K43" s="37">
        <f t="shared" si="5"/>
        <v>1.9472704895967887E-2</v>
      </c>
      <c r="L43" s="13"/>
      <c r="M43" s="13"/>
      <c r="N43" s="13">
        <v>488493</v>
      </c>
      <c r="O43" s="13">
        <v>599093</v>
      </c>
      <c r="P43" s="13">
        <f t="shared" ref="P43" si="16">SUM(L43:O43)</f>
        <v>1087586</v>
      </c>
      <c r="Q43" s="14" t="str">
        <f t="shared" si="11"/>
        <v>0</v>
      </c>
      <c r="R43" s="14" t="str">
        <f t="shared" si="11"/>
        <v>0</v>
      </c>
      <c r="S43" s="14">
        <f t="shared" si="11"/>
        <v>755.06310483870971</v>
      </c>
      <c r="T43" s="14">
        <f t="shared" si="11"/>
        <v>926.01740591397845</v>
      </c>
      <c r="U43" s="14">
        <f t="shared" si="12"/>
        <v>1681.080510752688</v>
      </c>
    </row>
    <row r="44" spans="1:21" x14ac:dyDescent="0.25">
      <c r="A44" s="10" t="s">
        <v>31</v>
      </c>
      <c r="B44" s="37">
        <f t="shared" si="0"/>
        <v>1.1960308641368156E-2</v>
      </c>
      <c r="C44" s="37" t="str">
        <f t="shared" si="6"/>
        <v>-</v>
      </c>
      <c r="D44" s="37">
        <f t="shared" si="7"/>
        <v>1.525728269671028E-2</v>
      </c>
      <c r="E44" s="37">
        <f t="shared" si="8"/>
        <v>1.2509655112928186E-2</v>
      </c>
      <c r="F44" s="37">
        <f t="shared" si="9"/>
        <v>3.9727246451006622E-2</v>
      </c>
      <c r="G44" s="37">
        <f t="shared" si="1"/>
        <v>1.1960308641368154E-2</v>
      </c>
      <c r="H44" s="37" t="str">
        <f t="shared" si="2"/>
        <v>-</v>
      </c>
      <c r="I44" s="37">
        <f t="shared" si="3"/>
        <v>1.525728269671028E-2</v>
      </c>
      <c r="J44" s="37">
        <f t="shared" si="4"/>
        <v>1.2509655112928186E-2</v>
      </c>
      <c r="K44" s="37">
        <f t="shared" si="5"/>
        <v>3.9727246451006615E-2</v>
      </c>
      <c r="L44" s="13">
        <f>151363+516642</f>
        <v>668005</v>
      </c>
      <c r="M44" s="13"/>
      <c r="N44" s="13">
        <v>852147</v>
      </c>
      <c r="O44" s="13">
        <v>698687</v>
      </c>
      <c r="P44" s="13">
        <f t="shared" si="15"/>
        <v>2218839</v>
      </c>
      <c r="Q44" s="14">
        <f t="shared" si="11"/>
        <v>1032.5346102150536</v>
      </c>
      <c r="R44" s="14" t="str">
        <f t="shared" si="11"/>
        <v>0</v>
      </c>
      <c r="S44" s="14">
        <f t="shared" si="11"/>
        <v>1317.1627016129032</v>
      </c>
      <c r="T44" s="14">
        <f t="shared" si="11"/>
        <v>1079.9597446236558</v>
      </c>
      <c r="U44" s="14">
        <f t="shared" si="12"/>
        <v>3429.6570564516123</v>
      </c>
    </row>
    <row r="45" spans="1:21" x14ac:dyDescent="0.25">
      <c r="A45" s="10" t="s">
        <v>26</v>
      </c>
      <c r="B45" s="37" t="str">
        <f t="shared" si="0"/>
        <v>-</v>
      </c>
      <c r="C45" s="37" t="str">
        <f t="shared" si="6"/>
        <v>-</v>
      </c>
      <c r="D45" s="37">
        <f t="shared" si="7"/>
        <v>1.6735515647135258E-2</v>
      </c>
      <c r="E45" s="37">
        <f t="shared" si="8"/>
        <v>9.7650892020043414E-3</v>
      </c>
      <c r="F45" s="37">
        <f t="shared" si="9"/>
        <v>2.6500604849139599E-2</v>
      </c>
      <c r="G45" s="37" t="str">
        <f t="shared" si="1"/>
        <v>-</v>
      </c>
      <c r="H45" s="37" t="str">
        <f t="shared" si="2"/>
        <v>-</v>
      </c>
      <c r="I45" s="37">
        <f t="shared" si="3"/>
        <v>1.6735515647135258E-2</v>
      </c>
      <c r="J45" s="37">
        <f t="shared" si="4"/>
        <v>9.7650892020043397E-3</v>
      </c>
      <c r="K45" s="37">
        <f t="shared" si="5"/>
        <v>2.6500604849139596E-2</v>
      </c>
      <c r="L45" s="13"/>
      <c r="M45" s="13"/>
      <c r="N45" s="13">
        <v>934709</v>
      </c>
      <c r="O45" s="13">
        <v>545398</v>
      </c>
      <c r="P45" s="13">
        <f t="shared" si="15"/>
        <v>1480107</v>
      </c>
      <c r="Q45" s="14" t="str">
        <f t="shared" si="11"/>
        <v>0</v>
      </c>
      <c r="R45" s="14" t="str">
        <f t="shared" si="11"/>
        <v>0</v>
      </c>
      <c r="S45" s="14">
        <f t="shared" si="11"/>
        <v>1444.778696236559</v>
      </c>
      <c r="T45" s="14">
        <f t="shared" si="11"/>
        <v>843.02110215053756</v>
      </c>
      <c r="U45" s="14">
        <f t="shared" si="12"/>
        <v>2287.7997983870964</v>
      </c>
    </row>
    <row r="46" spans="1:21" x14ac:dyDescent="0.25">
      <c r="A46" s="10" t="s">
        <v>55</v>
      </c>
      <c r="B46" s="37" t="str">
        <f t="shared" si="0"/>
        <v>-</v>
      </c>
      <c r="C46" s="37" t="str">
        <f t="shared" si="6"/>
        <v>-</v>
      </c>
      <c r="D46" s="37">
        <f t="shared" si="7"/>
        <v>1.071406455190411E-3</v>
      </c>
      <c r="E46" s="37">
        <f t="shared" si="8"/>
        <v>2.3897162362009384E-4</v>
      </c>
      <c r="F46" s="37">
        <f t="shared" si="9"/>
        <v>1.3103780788105048E-3</v>
      </c>
      <c r="G46" s="37" t="str">
        <f t="shared" si="1"/>
        <v>-</v>
      </c>
      <c r="H46" s="37" t="str">
        <f t="shared" si="2"/>
        <v>-</v>
      </c>
      <c r="I46" s="37">
        <f t="shared" si="3"/>
        <v>1.071406455190411E-3</v>
      </c>
      <c r="J46" s="37">
        <f t="shared" si="4"/>
        <v>2.3897162362009386E-4</v>
      </c>
      <c r="K46" s="37">
        <f t="shared" si="5"/>
        <v>1.3103780788105048E-3</v>
      </c>
      <c r="L46" s="13"/>
      <c r="M46" s="13"/>
      <c r="N46" s="13">
        <v>59840</v>
      </c>
      <c r="O46" s="13">
        <v>13347</v>
      </c>
      <c r="P46" s="13">
        <f t="shared" ref="P46" si="17">SUM(L46:O46)</f>
        <v>73187</v>
      </c>
      <c r="Q46" s="14" t="str">
        <f t="shared" si="11"/>
        <v>0</v>
      </c>
      <c r="R46" s="14" t="str">
        <f t="shared" si="11"/>
        <v>0</v>
      </c>
      <c r="S46" s="14">
        <f t="shared" si="11"/>
        <v>92.494623655913983</v>
      </c>
      <c r="T46" s="14">
        <f t="shared" si="11"/>
        <v>20.630443548387099</v>
      </c>
      <c r="U46" s="14">
        <f t="shared" si="12"/>
        <v>113.12506720430108</v>
      </c>
    </row>
    <row r="47" spans="1:21" x14ac:dyDescent="0.25">
      <c r="A47" s="10" t="s">
        <v>27</v>
      </c>
      <c r="B47" s="37" t="str">
        <f t="shared" si="0"/>
        <v>-</v>
      </c>
      <c r="C47" s="37" t="str">
        <f t="shared" si="6"/>
        <v>-</v>
      </c>
      <c r="D47" s="37">
        <f t="shared" si="7"/>
        <v>9.9645813598207107E-4</v>
      </c>
      <c r="E47" s="37">
        <f t="shared" si="8"/>
        <v>3.4352685650328109E-3</v>
      </c>
      <c r="F47" s="37">
        <f t="shared" si="9"/>
        <v>4.431726701014882E-3</v>
      </c>
      <c r="G47" s="37" t="str">
        <f t="shared" si="1"/>
        <v>-</v>
      </c>
      <c r="H47" s="37" t="str">
        <f t="shared" si="2"/>
        <v>-</v>
      </c>
      <c r="I47" s="37">
        <f t="shared" si="3"/>
        <v>9.9645813598207107E-4</v>
      </c>
      <c r="J47" s="37">
        <f t="shared" si="4"/>
        <v>3.43526856503281E-3</v>
      </c>
      <c r="K47" s="37">
        <f t="shared" si="5"/>
        <v>4.4317267010148811E-3</v>
      </c>
      <c r="L47" s="13"/>
      <c r="M47" s="13"/>
      <c r="N47" s="13">
        <v>55654</v>
      </c>
      <c r="O47" s="13">
        <v>191866</v>
      </c>
      <c r="P47" s="13">
        <f>SUM(L47:O47)</f>
        <v>247520</v>
      </c>
      <c r="Q47" s="14" t="str">
        <f t="shared" si="11"/>
        <v>0</v>
      </c>
      <c r="R47" s="14" t="str">
        <f t="shared" si="11"/>
        <v>0</v>
      </c>
      <c r="S47" s="14">
        <f t="shared" si="11"/>
        <v>86.024327956989239</v>
      </c>
      <c r="T47" s="14">
        <f t="shared" si="11"/>
        <v>296.56706989247306</v>
      </c>
      <c r="U47" s="14">
        <f t="shared" si="12"/>
        <v>382.59139784946228</v>
      </c>
    </row>
    <row r="48" spans="1:21" x14ac:dyDescent="0.25">
      <c r="A48" s="10" t="s">
        <v>32</v>
      </c>
      <c r="B48" s="37" t="str">
        <f t="shared" si="0"/>
        <v>-</v>
      </c>
      <c r="C48" s="37" t="str">
        <f t="shared" si="6"/>
        <v>-</v>
      </c>
      <c r="D48" s="37">
        <f t="shared" si="7"/>
        <v>3.0162311874045288E-3</v>
      </c>
      <c r="E48" s="37">
        <f t="shared" si="8"/>
        <v>1.7016992600378048E-3</v>
      </c>
      <c r="F48" s="37">
        <f t="shared" si="9"/>
        <v>4.7179304474423336E-3</v>
      </c>
      <c r="G48" s="37" t="str">
        <f t="shared" si="1"/>
        <v>-</v>
      </c>
      <c r="H48" s="37" t="str">
        <f t="shared" si="2"/>
        <v>-</v>
      </c>
      <c r="I48" s="37">
        <f t="shared" si="3"/>
        <v>3.0162311874045288E-3</v>
      </c>
      <c r="J48" s="37">
        <f t="shared" si="4"/>
        <v>1.7016992600378048E-3</v>
      </c>
      <c r="K48" s="37">
        <f t="shared" si="5"/>
        <v>4.7179304474423336E-3</v>
      </c>
      <c r="L48" s="13"/>
      <c r="M48" s="13"/>
      <c r="N48" s="13">
        <v>168462</v>
      </c>
      <c r="O48" s="13">
        <v>95043</v>
      </c>
      <c r="P48" s="13">
        <f>SUM(L48:O48)</f>
        <v>263505</v>
      </c>
      <c r="Q48" s="14" t="str">
        <f t="shared" si="11"/>
        <v>0</v>
      </c>
      <c r="R48" s="14" t="str">
        <f t="shared" si="11"/>
        <v>0</v>
      </c>
      <c r="S48" s="14">
        <f t="shared" si="11"/>
        <v>260.3915322580645</v>
      </c>
      <c r="T48" s="14">
        <f>IF(O48/744*1.15=0,"0",O48/744*1.15)</f>
        <v>146.9078629032258</v>
      </c>
      <c r="U48" s="14">
        <f>Q48+R48+S48+T48</f>
        <v>407.29939516129031</v>
      </c>
    </row>
    <row r="49" spans="1:257" x14ac:dyDescent="0.25">
      <c r="A49" s="10" t="s">
        <v>28</v>
      </c>
      <c r="B49" s="37" t="str">
        <f t="shared" si="0"/>
        <v>-</v>
      </c>
      <c r="C49" s="37" t="str">
        <f t="shared" si="6"/>
        <v>-</v>
      </c>
      <c r="D49" s="37">
        <f t="shared" si="7"/>
        <v>5.9250710660150724E-3</v>
      </c>
      <c r="E49" s="37">
        <f t="shared" si="8"/>
        <v>8.5402231089891142E-3</v>
      </c>
      <c r="F49" s="37">
        <f t="shared" si="9"/>
        <v>1.4465294175004187E-2</v>
      </c>
      <c r="G49" s="37" t="str">
        <f t="shared" si="1"/>
        <v>-</v>
      </c>
      <c r="H49" s="37" t="str">
        <f t="shared" si="2"/>
        <v>-</v>
      </c>
      <c r="I49" s="37">
        <f t="shared" si="3"/>
        <v>5.9250710660150724E-3</v>
      </c>
      <c r="J49" s="37">
        <f t="shared" si="4"/>
        <v>8.5402231089891142E-3</v>
      </c>
      <c r="K49" s="37">
        <f t="shared" si="5"/>
        <v>1.4465294175004187E-2</v>
      </c>
      <c r="L49" s="12"/>
      <c r="M49" s="12"/>
      <c r="N49" s="12">
        <v>330926</v>
      </c>
      <c r="O49" s="12">
        <v>476987</v>
      </c>
      <c r="P49" s="12">
        <f>SUM(L49:O49)</f>
        <v>807913</v>
      </c>
      <c r="Q49" s="14" t="str">
        <f t="shared" si="11"/>
        <v>0</v>
      </c>
      <c r="R49" s="14" t="str">
        <f t="shared" si="11"/>
        <v>0</v>
      </c>
      <c r="S49" s="14">
        <f t="shared" si="11"/>
        <v>511.51196236559139</v>
      </c>
      <c r="T49" s="14">
        <f t="shared" si="11"/>
        <v>737.27829301075269</v>
      </c>
      <c r="U49" s="14">
        <f t="shared" si="12"/>
        <v>1248.790255376344</v>
      </c>
    </row>
    <row r="50" spans="1:257" x14ac:dyDescent="0.25">
      <c r="A50" s="16" t="s">
        <v>0</v>
      </c>
      <c r="B50" s="37">
        <f t="shared" ref="B50:O50" si="18">SUM(B8:B49)</f>
        <v>0.13990083300697048</v>
      </c>
      <c r="C50" s="37">
        <f t="shared" si="18"/>
        <v>1.5626581318781762E-2</v>
      </c>
      <c r="D50" s="37">
        <f t="shared" si="18"/>
        <v>0.56058318336380841</v>
      </c>
      <c r="E50" s="37">
        <f t="shared" si="18"/>
        <v>0.28388940231043924</v>
      </c>
      <c r="F50" s="37">
        <f t="shared" si="18"/>
        <v>1</v>
      </c>
      <c r="G50" s="37">
        <f t="shared" si="18"/>
        <v>0.13990083300697048</v>
      </c>
      <c r="H50" s="37">
        <f t="shared" si="18"/>
        <v>1.5626581318781758E-2</v>
      </c>
      <c r="I50" s="37">
        <f t="shared" si="18"/>
        <v>0.56058318336380841</v>
      </c>
      <c r="J50" s="37">
        <f t="shared" si="18"/>
        <v>0.28388940231043919</v>
      </c>
      <c r="K50" s="37">
        <f t="shared" si="18"/>
        <v>0.99999999999999989</v>
      </c>
      <c r="L50" s="12">
        <f>SUM(L8:L49)</f>
        <v>7813716.0800000001</v>
      </c>
      <c r="M50" s="12">
        <f t="shared" si="18"/>
        <v>872773</v>
      </c>
      <c r="N50" s="12">
        <f t="shared" si="18"/>
        <v>31309590.800000001</v>
      </c>
      <c r="O50" s="12">
        <f t="shared" si="18"/>
        <v>15855739.67</v>
      </c>
      <c r="P50" s="12">
        <f>SUM(L50:O50)</f>
        <v>55851819.550000004</v>
      </c>
      <c r="Q50" s="38">
        <f>SUM(Q8:Q49)</f>
        <v>12077.652543010752</v>
      </c>
      <c r="R50" s="38">
        <f>SUM(R8:R49)</f>
        <v>1349.0442876344084</v>
      </c>
      <c r="S50" s="38">
        <f>SUM(S8:S49)</f>
        <v>48395.200833333336</v>
      </c>
      <c r="T50" s="38">
        <f>SUM(T8:T49)</f>
        <v>24508.199758736559</v>
      </c>
      <c r="U50" s="38">
        <f>SUM(Q50:T50)</f>
        <v>86330.097422715058</v>
      </c>
    </row>
    <row r="53" spans="1:257" s="6" customFormat="1" x14ac:dyDescent="0.25">
      <c r="A53" s="26" t="s">
        <v>46</v>
      </c>
      <c r="B53" s="6" t="s">
        <v>78</v>
      </c>
    </row>
    <row r="54" spans="1:257" s="6" customFormat="1" x14ac:dyDescent="0.25">
      <c r="A54" s="26"/>
      <c r="B54" s="6" t="s">
        <v>79</v>
      </c>
    </row>
    <row r="55" spans="1:257" s="6" customFormat="1" x14ac:dyDescent="0.25">
      <c r="B55" s="6" t="s">
        <v>96</v>
      </c>
    </row>
    <row r="56" spans="1:257" s="6" customFormat="1" x14ac:dyDescent="0.25">
      <c r="B56" s="6" t="s">
        <v>97</v>
      </c>
    </row>
    <row r="57" spans="1:257" s="6" customFormat="1" x14ac:dyDescent="0.25"/>
    <row r="58" spans="1:257" s="6" customFormat="1" x14ac:dyDescent="0.25">
      <c r="Q58" s="28"/>
      <c r="R58" s="28"/>
      <c r="S58" s="28"/>
      <c r="T58" s="28"/>
      <c r="U58" s="28"/>
    </row>
    <row r="59" spans="1:257" s="6" customFormat="1" x14ac:dyDescent="0.25">
      <c r="Q59" s="28"/>
      <c r="R59" s="28"/>
      <c r="S59" s="28"/>
      <c r="T59" s="28"/>
      <c r="U59" s="28"/>
    </row>
    <row r="60" spans="1:257" s="6" customFormat="1" x14ac:dyDescent="0.25"/>
    <row r="61" spans="1:257" s="6" customFormat="1" ht="15.75" x14ac:dyDescent="0.25">
      <c r="A61" s="34" t="s">
        <v>76</v>
      </c>
      <c r="B61" s="35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  <c r="IK61" s="36"/>
      <c r="IL61" s="36"/>
      <c r="IM61" s="36"/>
      <c r="IN61" s="36"/>
      <c r="IO61" s="36"/>
      <c r="IP61" s="36"/>
      <c r="IQ61" s="36"/>
      <c r="IR61" s="36"/>
      <c r="IS61" s="36"/>
      <c r="IT61" s="36"/>
      <c r="IU61" s="36"/>
      <c r="IV61" s="36"/>
      <c r="IW61" s="36"/>
    </row>
    <row r="62" spans="1:257" s="6" customFormat="1" ht="15.75" x14ac:dyDescent="0.25">
      <c r="A62" s="34"/>
      <c r="B62" s="35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  <c r="IK62" s="36"/>
      <c r="IL62" s="36"/>
      <c r="IM62" s="36"/>
      <c r="IN62" s="36"/>
      <c r="IO62" s="36"/>
      <c r="IP62" s="36"/>
      <c r="IQ62" s="36"/>
      <c r="IR62" s="36"/>
      <c r="IS62" s="36"/>
      <c r="IT62" s="36"/>
      <c r="IU62" s="36"/>
      <c r="IV62" s="36"/>
      <c r="IW62" s="36"/>
    </row>
    <row r="63" spans="1:257" s="6" customFormat="1" ht="15.75" x14ac:dyDescent="0.25">
      <c r="A63" s="34" t="s">
        <v>77</v>
      </c>
      <c r="B63" s="35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  <c r="CK63" s="36"/>
      <c r="CL63" s="36"/>
      <c r="CM63" s="36"/>
      <c r="CN63" s="36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36"/>
      <c r="DC63" s="36"/>
      <c r="DD63" s="36"/>
      <c r="DE63" s="36"/>
      <c r="DF63" s="36"/>
      <c r="DG63" s="36"/>
      <c r="DH63" s="36"/>
      <c r="DI63" s="36"/>
      <c r="DJ63" s="36"/>
      <c r="DK63" s="36"/>
      <c r="DL63" s="36"/>
      <c r="DM63" s="36"/>
      <c r="DN63" s="36"/>
      <c r="DO63" s="36"/>
      <c r="DP63" s="36"/>
      <c r="DQ63" s="36"/>
      <c r="DR63" s="36"/>
      <c r="DS63" s="36"/>
      <c r="DT63" s="36"/>
      <c r="DU63" s="36"/>
      <c r="DV63" s="36"/>
      <c r="DW63" s="36"/>
      <c r="DX63" s="36"/>
      <c r="DY63" s="36"/>
      <c r="DZ63" s="36"/>
      <c r="EA63" s="36"/>
      <c r="EB63" s="36"/>
      <c r="EC63" s="36"/>
      <c r="ED63" s="36"/>
      <c r="EE63" s="36"/>
      <c r="EF63" s="36"/>
      <c r="EG63" s="36"/>
      <c r="EH63" s="36"/>
      <c r="EI63" s="36"/>
      <c r="EJ63" s="36"/>
      <c r="EK63" s="36"/>
      <c r="EL63" s="36"/>
      <c r="EM63" s="36"/>
      <c r="EN63" s="36"/>
      <c r="EO63" s="36"/>
      <c r="EP63" s="36"/>
      <c r="EQ63" s="36"/>
      <c r="ER63" s="36"/>
      <c r="ES63" s="36"/>
      <c r="ET63" s="36"/>
      <c r="EU63" s="36"/>
      <c r="EV63" s="36"/>
      <c r="EW63" s="36"/>
      <c r="EX63" s="36"/>
      <c r="EY63" s="36"/>
      <c r="EZ63" s="36"/>
      <c r="FA63" s="36"/>
      <c r="FB63" s="36"/>
      <c r="FC63" s="36"/>
      <c r="FD63" s="36"/>
      <c r="FE63" s="36"/>
      <c r="FF63" s="36"/>
      <c r="FG63" s="36"/>
      <c r="FH63" s="36"/>
      <c r="FI63" s="36"/>
      <c r="FJ63" s="36"/>
      <c r="FK63" s="36"/>
      <c r="FL63" s="36"/>
      <c r="FM63" s="36"/>
      <c r="FN63" s="36"/>
      <c r="FO63" s="36"/>
      <c r="FP63" s="36"/>
      <c r="FQ63" s="36"/>
      <c r="FR63" s="36"/>
      <c r="FS63" s="36"/>
      <c r="FT63" s="36"/>
      <c r="FU63" s="36"/>
      <c r="FV63" s="36"/>
      <c r="FW63" s="36"/>
      <c r="FX63" s="36"/>
      <c r="FY63" s="36"/>
      <c r="FZ63" s="36"/>
      <c r="GA63" s="36"/>
      <c r="GB63" s="36"/>
      <c r="GC63" s="36"/>
      <c r="GD63" s="36"/>
      <c r="GE63" s="36"/>
      <c r="GF63" s="36"/>
      <c r="GG63" s="36"/>
      <c r="GH63" s="36"/>
      <c r="GI63" s="36"/>
      <c r="GJ63" s="36"/>
      <c r="GK63" s="36"/>
      <c r="GL63" s="36"/>
      <c r="GM63" s="36"/>
      <c r="GN63" s="36"/>
      <c r="GO63" s="36"/>
      <c r="GP63" s="36"/>
      <c r="GQ63" s="36"/>
      <c r="GR63" s="36"/>
      <c r="GS63" s="36"/>
      <c r="GT63" s="36"/>
      <c r="GU63" s="36"/>
      <c r="GV63" s="36"/>
      <c r="GW63" s="36"/>
      <c r="GX63" s="36"/>
      <c r="GY63" s="36"/>
      <c r="GZ63" s="36"/>
      <c r="HA63" s="36"/>
      <c r="HB63" s="36"/>
      <c r="HC63" s="36"/>
      <c r="HD63" s="36"/>
      <c r="HE63" s="36"/>
      <c r="HF63" s="36"/>
      <c r="HG63" s="36"/>
      <c r="HH63" s="36"/>
      <c r="HI63" s="36"/>
      <c r="HJ63" s="36"/>
      <c r="HK63" s="36"/>
      <c r="HL63" s="36"/>
      <c r="HM63" s="36"/>
      <c r="HN63" s="36"/>
      <c r="HO63" s="36"/>
      <c r="HP63" s="36"/>
      <c r="HQ63" s="36"/>
      <c r="HR63" s="36"/>
      <c r="HS63" s="36"/>
      <c r="HT63" s="36"/>
      <c r="HU63" s="36"/>
      <c r="HV63" s="36"/>
      <c r="HW63" s="36"/>
      <c r="HX63" s="36"/>
      <c r="HY63" s="36"/>
      <c r="HZ63" s="36"/>
      <c r="IA63" s="36"/>
      <c r="IB63" s="36"/>
      <c r="IC63" s="36"/>
      <c r="ID63" s="36"/>
      <c r="IE63" s="36"/>
      <c r="IF63" s="36"/>
      <c r="IG63" s="36"/>
      <c r="IH63" s="36"/>
      <c r="II63" s="36"/>
      <c r="IJ63" s="36"/>
      <c r="IK63" s="36"/>
      <c r="IL63" s="36"/>
      <c r="IM63" s="36"/>
      <c r="IN63" s="36"/>
      <c r="IO63" s="36"/>
      <c r="IP63" s="36"/>
      <c r="IQ63" s="36"/>
      <c r="IR63" s="36"/>
      <c r="IS63" s="36"/>
      <c r="IT63" s="36"/>
      <c r="IU63" s="36"/>
      <c r="IV63" s="36"/>
      <c r="IW63" s="36"/>
    </row>
    <row r="64" spans="1:257" s="6" customFormat="1" x14ac:dyDescent="0.25">
      <c r="Q64" s="28"/>
      <c r="R64" s="28"/>
      <c r="S64" s="28"/>
      <c r="T64" s="28"/>
      <c r="U64" s="28"/>
    </row>
  </sheetData>
  <mergeCells count="8">
    <mergeCell ref="J1:K1"/>
    <mergeCell ref="Q5:U6"/>
    <mergeCell ref="A2:K2"/>
    <mergeCell ref="A3:K3"/>
    <mergeCell ref="A5:A6"/>
    <mergeCell ref="B5:F6"/>
    <mergeCell ref="G5:K6"/>
    <mergeCell ref="L5:P6"/>
  </mergeCells>
  <pageMargins left="0.7" right="0.7" top="0.75" bottom="0.75" header="0.3" footer="0.3"/>
  <pageSetup paperSize="9" scale="7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W66"/>
  <sheetViews>
    <sheetView view="pageBreakPreview" topLeftCell="A18" zoomScaleNormal="100" zoomScaleSheetLayoutView="100" workbookViewId="0">
      <selection activeCell="L16" sqref="L16"/>
    </sheetView>
  </sheetViews>
  <sheetFormatPr defaultRowHeight="15" x14ac:dyDescent="0.25"/>
  <cols>
    <col min="1" max="1" width="38" style="6" customWidth="1"/>
    <col min="2" max="13" width="9.140625" style="6" customWidth="1"/>
    <col min="14" max="14" width="9.85546875" style="6" customWidth="1"/>
    <col min="15" max="15" width="10.140625" style="6" customWidth="1"/>
    <col min="16" max="16" width="10" style="6" customWidth="1"/>
    <col min="17" max="21" width="9.140625" style="28" customWidth="1"/>
    <col min="22" max="28" width="9.140625" style="6" customWidth="1"/>
    <col min="29" max="16384" width="9.140625" style="6"/>
  </cols>
  <sheetData>
    <row r="1" spans="1:21" ht="15.75" x14ac:dyDescent="0.25">
      <c r="J1" s="71"/>
      <c r="K1" s="71"/>
    </row>
    <row r="2" spans="1:21" ht="15.75" x14ac:dyDescent="0.25">
      <c r="A2" s="67" t="s">
        <v>33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21" ht="15.75" x14ac:dyDescent="0.25">
      <c r="A3" s="67" t="s">
        <v>69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21" x14ac:dyDescent="0.25">
      <c r="A4" s="18" t="s">
        <v>34</v>
      </c>
      <c r="B4" s="4"/>
      <c r="C4" s="4"/>
      <c r="D4" s="4"/>
      <c r="E4" s="4"/>
      <c r="F4" s="5"/>
      <c r="K4" s="7"/>
    </row>
    <row r="5" spans="1:21" x14ac:dyDescent="0.25">
      <c r="A5" s="68" t="s">
        <v>35</v>
      </c>
      <c r="B5" s="66" t="s">
        <v>29</v>
      </c>
      <c r="C5" s="66"/>
      <c r="D5" s="66"/>
      <c r="E5" s="66"/>
      <c r="F5" s="66"/>
      <c r="G5" s="66" t="s">
        <v>36</v>
      </c>
      <c r="H5" s="66"/>
      <c r="I5" s="66"/>
      <c r="J5" s="66"/>
      <c r="K5" s="66"/>
      <c r="L5" s="66" t="s">
        <v>42</v>
      </c>
      <c r="M5" s="66"/>
      <c r="N5" s="66"/>
      <c r="O5" s="66"/>
      <c r="P5" s="66"/>
      <c r="Q5" s="66" t="s">
        <v>43</v>
      </c>
      <c r="R5" s="66"/>
      <c r="S5" s="66"/>
      <c r="T5" s="66"/>
      <c r="U5" s="66"/>
    </row>
    <row r="6" spans="1:21" x14ac:dyDescent="0.25">
      <c r="A6" s="69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</row>
    <row r="7" spans="1:21" x14ac:dyDescent="0.25">
      <c r="A7" s="29" t="s">
        <v>37</v>
      </c>
      <c r="B7" s="9" t="s">
        <v>1</v>
      </c>
      <c r="C7" s="9" t="s">
        <v>39</v>
      </c>
      <c r="D7" s="9" t="s">
        <v>40</v>
      </c>
      <c r="E7" s="9" t="s">
        <v>2</v>
      </c>
      <c r="F7" s="9" t="s">
        <v>41</v>
      </c>
      <c r="G7" s="9" t="s">
        <v>1</v>
      </c>
      <c r="H7" s="9" t="s">
        <v>39</v>
      </c>
      <c r="I7" s="9" t="s">
        <v>40</v>
      </c>
      <c r="J7" s="9" t="s">
        <v>2</v>
      </c>
      <c r="K7" s="9" t="s">
        <v>41</v>
      </c>
      <c r="L7" s="9" t="s">
        <v>1</v>
      </c>
      <c r="M7" s="9" t="s">
        <v>39</v>
      </c>
      <c r="N7" s="9" t="s">
        <v>40</v>
      </c>
      <c r="O7" s="9" t="s">
        <v>2</v>
      </c>
      <c r="P7" s="9" t="s">
        <v>41</v>
      </c>
      <c r="Q7" s="9" t="s">
        <v>1</v>
      </c>
      <c r="R7" s="9" t="s">
        <v>39</v>
      </c>
      <c r="S7" s="9" t="s">
        <v>40</v>
      </c>
      <c r="T7" s="9" t="s">
        <v>2</v>
      </c>
      <c r="U7" s="9" t="s">
        <v>41</v>
      </c>
    </row>
    <row r="8" spans="1:21" x14ac:dyDescent="0.25">
      <c r="A8" s="30" t="s">
        <v>44</v>
      </c>
      <c r="B8" s="11" t="str">
        <f t="shared" ref="B8:B52" si="0">IF(L8/$P$53=0,"-",L8/$P$53)</f>
        <v>-</v>
      </c>
      <c r="C8" s="11">
        <f>M8/$P$53</f>
        <v>0</v>
      </c>
      <c r="D8" s="11">
        <f>N8/$P$53</f>
        <v>8.8783017045285136E-3</v>
      </c>
      <c r="E8" s="11">
        <f>O8/$P$53</f>
        <v>3.965488719869719E-3</v>
      </c>
      <c r="F8" s="11">
        <f>P8/$P$53</f>
        <v>1.2843790424398231E-2</v>
      </c>
      <c r="G8" s="11" t="str">
        <f t="shared" ref="G8:G52" si="1">IF(Q8/$U$53=0,"-",Q8/$U$53)</f>
        <v>-</v>
      </c>
      <c r="H8" s="11" t="str">
        <f t="shared" ref="H8:H52" si="2">IF(R8/$U$53=0,"-",R8/$U$53)</f>
        <v>-</v>
      </c>
      <c r="I8" s="11">
        <f t="shared" ref="I8:I52" si="3">IF(S8/$U$53=0,"-",S8/$U$53)</f>
        <v>8.8783017045285118E-3</v>
      </c>
      <c r="J8" s="11">
        <f t="shared" ref="J8:J52" si="4">IF(T8/$U$53=0,"-",T8/$U$53)</f>
        <v>3.965488719869719E-3</v>
      </c>
      <c r="K8" s="11">
        <f t="shared" ref="K8:K52" si="5">IF(U8/$U$53=0,"-",U8/$U$53)</f>
        <v>1.2843790424398229E-2</v>
      </c>
      <c r="L8" s="13"/>
      <c r="M8" s="13"/>
      <c r="N8" s="13">
        <v>543406</v>
      </c>
      <c r="O8" s="13">
        <v>242712</v>
      </c>
      <c r="P8" s="13">
        <f>SUM(L8:O8)</f>
        <v>786118</v>
      </c>
      <c r="Q8" s="14" t="str">
        <f>IF(L8/744*1.15=0,"0",L8/744*1.15)</f>
        <v>0</v>
      </c>
      <c r="R8" s="14" t="str">
        <f>IF(M8/744*1.15=0,"0",M8/744*1.15)</f>
        <v>0</v>
      </c>
      <c r="S8" s="14">
        <f>IF(N8/744*1.15=0,"0",N8/744*1.15)</f>
        <v>839.942069892473</v>
      </c>
      <c r="T8" s="14">
        <f>IF(O8/744*1.15=0,"0",O8/744*1.15)</f>
        <v>375.15967741935481</v>
      </c>
      <c r="U8" s="14">
        <f>Q8+R8+S8+T8</f>
        <v>1215.1017473118277</v>
      </c>
    </row>
    <row r="9" spans="1:21" x14ac:dyDescent="0.25">
      <c r="A9" s="30" t="s">
        <v>3</v>
      </c>
      <c r="B9" s="11">
        <f t="shared" si="0"/>
        <v>4.1703049901500788E-3</v>
      </c>
      <c r="C9" s="11" t="str">
        <f t="shared" ref="C9:C52" si="6">IF(M9/$P$53=0,"-",M9/$P$53)</f>
        <v>-</v>
      </c>
      <c r="D9" s="11">
        <f t="shared" ref="D9:D52" si="7">IF(N9/$P$53=0,"-",N9/$P$53)</f>
        <v>8.9704820967526511E-3</v>
      </c>
      <c r="E9" s="11">
        <f t="shared" ref="E9:E52" si="8">IF(O9/$P$53=0,"-",O9/$P$53)</f>
        <v>3.9510783856014295E-3</v>
      </c>
      <c r="F9" s="11">
        <f t="shared" ref="F9:F52" si="9">P9/$P$53</f>
        <v>1.7091865472504159E-2</v>
      </c>
      <c r="G9" s="11">
        <f t="shared" si="1"/>
        <v>4.1703049901500788E-3</v>
      </c>
      <c r="H9" s="11" t="str">
        <f t="shared" si="2"/>
        <v>-</v>
      </c>
      <c r="I9" s="11">
        <f t="shared" si="3"/>
        <v>8.9704820967526511E-3</v>
      </c>
      <c r="J9" s="11">
        <f t="shared" si="4"/>
        <v>3.9510783856014295E-3</v>
      </c>
      <c r="K9" s="11">
        <f t="shared" si="5"/>
        <v>1.7091865472504162E-2</v>
      </c>
      <c r="L9" s="13">
        <v>255248</v>
      </c>
      <c r="M9" s="13"/>
      <c r="N9" s="13">
        <v>549048</v>
      </c>
      <c r="O9" s="13">
        <v>241830</v>
      </c>
      <c r="P9" s="13">
        <f t="shared" ref="P9:P12" si="10">SUM(L9:O9)</f>
        <v>1046126</v>
      </c>
      <c r="Q9" s="14">
        <f t="shared" ref="Q9:T52" si="11">IF(L9/744*1.15=0,"0",L9/744*1.15)</f>
        <v>394.53655913978491</v>
      </c>
      <c r="R9" s="14" t="str">
        <f t="shared" si="11"/>
        <v>0</v>
      </c>
      <c r="S9" s="14">
        <f t="shared" si="11"/>
        <v>848.66290322580642</v>
      </c>
      <c r="T9" s="14">
        <f t="shared" si="11"/>
        <v>373.79637096774195</v>
      </c>
      <c r="U9" s="14">
        <f t="shared" ref="U9:U52" si="12">Q9+R9+S9+T9</f>
        <v>1616.9958333333334</v>
      </c>
    </row>
    <row r="10" spans="1:21" x14ac:dyDescent="0.25">
      <c r="A10" s="30" t="s">
        <v>4</v>
      </c>
      <c r="B10" s="11" t="str">
        <f t="shared" si="0"/>
        <v>-</v>
      </c>
      <c r="C10" s="11">
        <f t="shared" si="6"/>
        <v>5.3398620970222322E-3</v>
      </c>
      <c r="D10" s="11">
        <f t="shared" si="7"/>
        <v>2.0639176748386497E-2</v>
      </c>
      <c r="E10" s="11">
        <f t="shared" si="8"/>
        <v>1.7553126875069183E-2</v>
      </c>
      <c r="F10" s="11">
        <f t="shared" si="9"/>
        <v>4.3532165720477911E-2</v>
      </c>
      <c r="G10" s="11" t="str">
        <f t="shared" si="1"/>
        <v>-</v>
      </c>
      <c r="H10" s="11">
        <f t="shared" si="2"/>
        <v>5.3398620970222322E-3</v>
      </c>
      <c r="I10" s="11">
        <f t="shared" si="3"/>
        <v>2.0639176748386497E-2</v>
      </c>
      <c r="J10" s="11">
        <f t="shared" si="4"/>
        <v>1.7553126875069183E-2</v>
      </c>
      <c r="K10" s="11">
        <f t="shared" si="5"/>
        <v>4.3532165720477904E-2</v>
      </c>
      <c r="L10" s="13"/>
      <c r="M10" s="13">
        <v>326832</v>
      </c>
      <c r="N10" s="13">
        <v>1263243</v>
      </c>
      <c r="O10" s="13">
        <v>1074358</v>
      </c>
      <c r="P10" s="13">
        <f t="shared" si="10"/>
        <v>2664433</v>
      </c>
      <c r="Q10" s="14" t="str">
        <f t="shared" si="11"/>
        <v>0</v>
      </c>
      <c r="R10" s="14">
        <f t="shared" si="11"/>
        <v>505.18387096774194</v>
      </c>
      <c r="S10" s="14">
        <f t="shared" si="11"/>
        <v>1952.5933467741934</v>
      </c>
      <c r="T10" s="14">
        <f t="shared" si="11"/>
        <v>1660.634005376344</v>
      </c>
      <c r="U10" s="14">
        <f t="shared" si="12"/>
        <v>4118.4112231182789</v>
      </c>
    </row>
    <row r="11" spans="1:21" x14ac:dyDescent="0.25">
      <c r="A11" s="30" t="s">
        <v>71</v>
      </c>
      <c r="B11" s="11" t="str">
        <f t="shared" si="0"/>
        <v>-</v>
      </c>
      <c r="C11" s="11" t="str">
        <f t="shared" si="6"/>
        <v>-</v>
      </c>
      <c r="D11" s="11">
        <f t="shared" si="7"/>
        <v>1.2967993781663014E-3</v>
      </c>
      <c r="E11" s="11">
        <f t="shared" si="8"/>
        <v>1.6102323176253337E-3</v>
      </c>
      <c r="F11" s="11">
        <f t="shared" si="9"/>
        <v>2.9070316957916353E-3</v>
      </c>
      <c r="G11" s="11" t="str">
        <f t="shared" si="1"/>
        <v>-</v>
      </c>
      <c r="H11" s="11" t="str">
        <f t="shared" si="2"/>
        <v>-</v>
      </c>
      <c r="I11" s="11">
        <f t="shared" si="3"/>
        <v>1.2967993781663014E-3</v>
      </c>
      <c r="J11" s="11">
        <f t="shared" si="4"/>
        <v>1.6102323176253337E-3</v>
      </c>
      <c r="K11" s="11">
        <f t="shared" si="5"/>
        <v>2.9070316957916353E-3</v>
      </c>
      <c r="L11" s="13"/>
      <c r="M11" s="13"/>
      <c r="N11" s="13">
        <v>79372</v>
      </c>
      <c r="O11" s="13">
        <v>98556</v>
      </c>
      <c r="P11" s="13">
        <f t="shared" si="10"/>
        <v>177928</v>
      </c>
      <c r="Q11" s="14" t="str">
        <f t="shared" si="11"/>
        <v>0</v>
      </c>
      <c r="R11" s="14" t="str">
        <f t="shared" si="11"/>
        <v>0</v>
      </c>
      <c r="S11" s="14">
        <f t="shared" si="11"/>
        <v>122.68521505376344</v>
      </c>
      <c r="T11" s="14">
        <f t="shared" si="11"/>
        <v>152.33790322580643</v>
      </c>
      <c r="U11" s="14">
        <f t="shared" si="12"/>
        <v>275.02311827956987</v>
      </c>
    </row>
    <row r="12" spans="1:21" x14ac:dyDescent="0.25">
      <c r="A12" s="30" t="s">
        <v>51</v>
      </c>
      <c r="B12" s="11" t="str">
        <f t="shared" si="0"/>
        <v>-</v>
      </c>
      <c r="C12" s="11" t="str">
        <f t="shared" si="6"/>
        <v>-</v>
      </c>
      <c r="D12" s="11">
        <f t="shared" si="7"/>
        <v>1.2532971604534354E-2</v>
      </c>
      <c r="E12" s="11">
        <f t="shared" si="8"/>
        <v>6.8142909016792857E-3</v>
      </c>
      <c r="F12" s="11">
        <f t="shared" si="9"/>
        <v>1.9347262506213641E-2</v>
      </c>
      <c r="G12" s="11" t="str">
        <f t="shared" si="1"/>
        <v>-</v>
      </c>
      <c r="H12" s="11" t="str">
        <f t="shared" si="2"/>
        <v>-</v>
      </c>
      <c r="I12" s="11">
        <f t="shared" si="3"/>
        <v>1.2532971604534354E-2</v>
      </c>
      <c r="J12" s="11">
        <f t="shared" si="4"/>
        <v>6.8142909016792857E-3</v>
      </c>
      <c r="K12" s="11">
        <f t="shared" si="5"/>
        <v>1.9347262506213641E-2</v>
      </c>
      <c r="L12" s="13"/>
      <c r="M12" s="13"/>
      <c r="N12" s="13">
        <v>767094</v>
      </c>
      <c r="O12" s="13">
        <v>417076</v>
      </c>
      <c r="P12" s="13">
        <f t="shared" si="10"/>
        <v>1184170</v>
      </c>
      <c r="Q12" s="14" t="str">
        <f t="shared" si="11"/>
        <v>0</v>
      </c>
      <c r="R12" s="14" t="str">
        <f t="shared" si="11"/>
        <v>0</v>
      </c>
      <c r="S12" s="14">
        <f t="shared" si="11"/>
        <v>1185.6963709677418</v>
      </c>
      <c r="T12" s="14">
        <f t="shared" si="11"/>
        <v>644.67392473118275</v>
      </c>
      <c r="U12" s="14">
        <f t="shared" si="12"/>
        <v>1830.3702956989246</v>
      </c>
    </row>
    <row r="13" spans="1:21" x14ac:dyDescent="0.25">
      <c r="A13" s="30" t="s">
        <v>5</v>
      </c>
      <c r="B13" s="11" t="str">
        <f t="shared" si="0"/>
        <v>-</v>
      </c>
      <c r="C13" s="11" t="str">
        <f t="shared" si="6"/>
        <v>-</v>
      </c>
      <c r="D13" s="11">
        <f t="shared" si="7"/>
        <v>1.6653363248664451E-2</v>
      </c>
      <c r="E13" s="11">
        <f t="shared" si="8"/>
        <v>5.5126063875195397E-3</v>
      </c>
      <c r="F13" s="11">
        <f t="shared" si="9"/>
        <v>2.2165969636183992E-2</v>
      </c>
      <c r="G13" s="11" t="str">
        <f t="shared" si="1"/>
        <v>-</v>
      </c>
      <c r="H13" s="11" t="str">
        <f t="shared" si="2"/>
        <v>-</v>
      </c>
      <c r="I13" s="11">
        <f t="shared" si="3"/>
        <v>1.6653363248664451E-2</v>
      </c>
      <c r="J13" s="11">
        <f t="shared" si="4"/>
        <v>5.5126063875195397E-3</v>
      </c>
      <c r="K13" s="11">
        <f t="shared" si="5"/>
        <v>2.2165969636183992E-2</v>
      </c>
      <c r="L13" s="13"/>
      <c r="M13" s="13"/>
      <c r="N13" s="13">
        <f>189942+137389+92559+599397</f>
        <v>1019287</v>
      </c>
      <c r="O13" s="13">
        <v>337405</v>
      </c>
      <c r="P13" s="13">
        <f t="shared" ref="P13:P24" si="13">L13+M13+N13+O13</f>
        <v>1356692</v>
      </c>
      <c r="Q13" s="14" t="str">
        <f t="shared" si="11"/>
        <v>0</v>
      </c>
      <c r="R13" s="14" t="str">
        <f t="shared" si="11"/>
        <v>0</v>
      </c>
      <c r="S13" s="14">
        <f t="shared" si="11"/>
        <v>1575.5108198924731</v>
      </c>
      <c r="T13" s="14">
        <f t="shared" si="11"/>
        <v>521.52654569892468</v>
      </c>
      <c r="U13" s="14">
        <f t="shared" si="12"/>
        <v>2097.0373655913977</v>
      </c>
    </row>
    <row r="14" spans="1:21" x14ac:dyDescent="0.25">
      <c r="A14" s="30" t="s">
        <v>6</v>
      </c>
      <c r="B14" s="11" t="str">
        <f t="shared" si="0"/>
        <v>-</v>
      </c>
      <c r="C14" s="11" t="str">
        <f t="shared" si="6"/>
        <v>-</v>
      </c>
      <c r="D14" s="11">
        <f t="shared" si="7"/>
        <v>3.3039694180683862E-3</v>
      </c>
      <c r="E14" s="11">
        <f t="shared" si="8"/>
        <v>6.5495459396800069E-3</v>
      </c>
      <c r="F14" s="11">
        <f t="shared" si="9"/>
        <v>9.8535153577483936E-3</v>
      </c>
      <c r="G14" s="11" t="str">
        <f t="shared" si="1"/>
        <v>-</v>
      </c>
      <c r="H14" s="11" t="str">
        <f t="shared" si="2"/>
        <v>-</v>
      </c>
      <c r="I14" s="11">
        <f t="shared" si="3"/>
        <v>3.3039694180683858E-3</v>
      </c>
      <c r="J14" s="11">
        <f t="shared" si="4"/>
        <v>6.5495459396800069E-3</v>
      </c>
      <c r="K14" s="11">
        <f t="shared" si="5"/>
        <v>9.8535153577483919E-3</v>
      </c>
      <c r="L14" s="13"/>
      <c r="M14" s="13"/>
      <c r="N14" s="13">
        <v>202223</v>
      </c>
      <c r="O14" s="13">
        <v>400872</v>
      </c>
      <c r="P14" s="13">
        <f t="shared" si="13"/>
        <v>603095</v>
      </c>
      <c r="Q14" s="14" t="str">
        <f t="shared" si="11"/>
        <v>0</v>
      </c>
      <c r="R14" s="14" t="str">
        <f t="shared" si="11"/>
        <v>0</v>
      </c>
      <c r="S14" s="14">
        <f t="shared" si="11"/>
        <v>312.57587365591394</v>
      </c>
      <c r="T14" s="14">
        <f t="shared" si="11"/>
        <v>619.62741935483859</v>
      </c>
      <c r="U14" s="14">
        <f t="shared" si="12"/>
        <v>932.20329301075253</v>
      </c>
    </row>
    <row r="15" spans="1:21" x14ac:dyDescent="0.25">
      <c r="A15" s="30" t="s">
        <v>52</v>
      </c>
      <c r="B15" s="11">
        <f t="shared" si="0"/>
        <v>4.8126791335663985E-2</v>
      </c>
      <c r="C15" s="11">
        <f t="shared" si="6"/>
        <v>6.5461802607012457E-3</v>
      </c>
      <c r="D15" s="11">
        <f t="shared" si="7"/>
        <v>0.12029740511869125</v>
      </c>
      <c r="E15" s="11">
        <f t="shared" si="8"/>
        <v>2.9072816709779216E-2</v>
      </c>
      <c r="F15" s="11">
        <f t="shared" si="9"/>
        <v>0.20404319342483568</v>
      </c>
      <c r="G15" s="11">
        <f t="shared" si="1"/>
        <v>4.8126791335663978E-2</v>
      </c>
      <c r="H15" s="11">
        <f t="shared" si="2"/>
        <v>6.5461802607012448E-3</v>
      </c>
      <c r="I15" s="11">
        <f t="shared" si="3"/>
        <v>0.12029740511869123</v>
      </c>
      <c r="J15" s="11">
        <f t="shared" si="4"/>
        <v>2.9072816709779216E-2</v>
      </c>
      <c r="K15" s="11">
        <f t="shared" si="5"/>
        <v>0.20404319342483568</v>
      </c>
      <c r="L15" s="13">
        <v>2945652</v>
      </c>
      <c r="M15" s="13">
        <v>400666</v>
      </c>
      <c r="N15" s="13">
        <v>7362932</v>
      </c>
      <c r="O15" s="13">
        <v>1779433</v>
      </c>
      <c r="P15" s="13">
        <f t="shared" si="13"/>
        <v>12488683</v>
      </c>
      <c r="Q15" s="14">
        <f t="shared" si="11"/>
        <v>4553.0911290322574</v>
      </c>
      <c r="R15" s="14">
        <f t="shared" si="11"/>
        <v>619.30900537634398</v>
      </c>
      <c r="S15" s="14">
        <f t="shared" si="11"/>
        <v>11380.876075268816</v>
      </c>
      <c r="T15" s="14">
        <f t="shared" si="11"/>
        <v>2750.4676747311823</v>
      </c>
      <c r="U15" s="14">
        <f t="shared" si="12"/>
        <v>19303.743884408599</v>
      </c>
    </row>
    <row r="16" spans="1:21" x14ac:dyDescent="0.25">
      <c r="A16" s="30" t="s">
        <v>54</v>
      </c>
      <c r="B16" s="11" t="str">
        <f t="shared" si="0"/>
        <v>-</v>
      </c>
      <c r="C16" s="11" t="str">
        <f t="shared" si="6"/>
        <v>-</v>
      </c>
      <c r="D16" s="11">
        <f t="shared" si="7"/>
        <v>7.0096309884272109E-3</v>
      </c>
      <c r="E16" s="11">
        <f t="shared" si="8"/>
        <v>4.9064410681456047E-3</v>
      </c>
      <c r="F16" s="11">
        <f t="shared" si="9"/>
        <v>1.1916072056572816E-2</v>
      </c>
      <c r="G16" s="11" t="str">
        <f t="shared" si="1"/>
        <v>-</v>
      </c>
      <c r="H16" s="11" t="str">
        <f t="shared" si="2"/>
        <v>-</v>
      </c>
      <c r="I16" s="11">
        <f t="shared" si="3"/>
        <v>7.0096309884272101E-3</v>
      </c>
      <c r="J16" s="11">
        <f t="shared" si="4"/>
        <v>4.9064410681456047E-3</v>
      </c>
      <c r="K16" s="11">
        <f t="shared" si="5"/>
        <v>1.1916072056572816E-2</v>
      </c>
      <c r="L16" s="13"/>
      <c r="M16" s="13"/>
      <c r="N16" s="13">
        <v>429032</v>
      </c>
      <c r="O16" s="13">
        <v>300304</v>
      </c>
      <c r="P16" s="13">
        <f t="shared" si="13"/>
        <v>729336</v>
      </c>
      <c r="Q16" s="14" t="str">
        <f t="shared" si="11"/>
        <v>0</v>
      </c>
      <c r="R16" s="14" t="str">
        <f t="shared" si="11"/>
        <v>0</v>
      </c>
      <c r="S16" s="14">
        <f t="shared" si="11"/>
        <v>663.15430107526868</v>
      </c>
      <c r="T16" s="14">
        <f t="shared" si="11"/>
        <v>464.17956989247307</v>
      </c>
      <c r="U16" s="14">
        <f t="shared" si="12"/>
        <v>1127.3338709677419</v>
      </c>
    </row>
    <row r="17" spans="1:23" x14ac:dyDescent="0.25">
      <c r="A17" s="30" t="s">
        <v>7</v>
      </c>
      <c r="B17" s="11" t="str">
        <f t="shared" si="0"/>
        <v>-</v>
      </c>
      <c r="C17" s="11" t="str">
        <f t="shared" si="6"/>
        <v>-</v>
      </c>
      <c r="D17" s="11">
        <f t="shared" si="7"/>
        <v>8.8480269319671286E-3</v>
      </c>
      <c r="E17" s="11">
        <f t="shared" si="8"/>
        <v>2.8955622460678943E-3</v>
      </c>
      <c r="F17" s="11">
        <f t="shared" si="9"/>
        <v>1.1743589178035023E-2</v>
      </c>
      <c r="G17" s="11" t="str">
        <f t="shared" si="1"/>
        <v>-</v>
      </c>
      <c r="H17" s="11" t="str">
        <f t="shared" si="2"/>
        <v>-</v>
      </c>
      <c r="I17" s="11">
        <f t="shared" si="3"/>
        <v>8.8480269319671286E-3</v>
      </c>
      <c r="J17" s="11">
        <f t="shared" si="4"/>
        <v>2.8955622460678948E-3</v>
      </c>
      <c r="K17" s="11">
        <f t="shared" si="5"/>
        <v>1.1743589178035023E-2</v>
      </c>
      <c r="L17" s="13"/>
      <c r="M17" s="13"/>
      <c r="N17" s="13">
        <v>541553</v>
      </c>
      <c r="O17" s="13">
        <v>177226</v>
      </c>
      <c r="P17" s="13">
        <f t="shared" si="13"/>
        <v>718779</v>
      </c>
      <c r="Q17" s="14" t="str">
        <f t="shared" si="11"/>
        <v>0</v>
      </c>
      <c r="R17" s="14" t="str">
        <f t="shared" si="11"/>
        <v>0</v>
      </c>
      <c r="S17" s="14">
        <f t="shared" si="11"/>
        <v>837.07788978494614</v>
      </c>
      <c r="T17" s="14">
        <f t="shared" si="11"/>
        <v>273.9380376344086</v>
      </c>
      <c r="U17" s="14">
        <f t="shared" si="12"/>
        <v>1111.0159274193547</v>
      </c>
    </row>
    <row r="18" spans="1:23" x14ac:dyDescent="0.25">
      <c r="A18" s="30" t="s">
        <v>73</v>
      </c>
      <c r="B18" s="11" t="str">
        <f t="shared" si="0"/>
        <v>-</v>
      </c>
      <c r="C18" s="11" t="str">
        <f t="shared" si="6"/>
        <v>-</v>
      </c>
      <c r="D18" s="11">
        <f t="shared" si="7"/>
        <v>1.3561562312237796E-3</v>
      </c>
      <c r="E18" s="11">
        <f t="shared" si="8"/>
        <v>2.0477052318744506E-3</v>
      </c>
      <c r="F18" s="11">
        <f t="shared" si="9"/>
        <v>3.4038614630982301E-3</v>
      </c>
      <c r="G18" s="11" t="str">
        <f t="shared" si="1"/>
        <v>-</v>
      </c>
      <c r="H18" s="11" t="str">
        <f t="shared" si="2"/>
        <v>-</v>
      </c>
      <c r="I18" s="11">
        <f t="shared" si="3"/>
        <v>1.3561562312237796E-3</v>
      </c>
      <c r="J18" s="11">
        <f t="shared" si="4"/>
        <v>2.0477052318744506E-3</v>
      </c>
      <c r="K18" s="11">
        <f t="shared" si="5"/>
        <v>3.4038614630982297E-3</v>
      </c>
      <c r="L18" s="13"/>
      <c r="M18" s="13"/>
      <c r="N18" s="13">
        <v>83005</v>
      </c>
      <c r="O18" s="13">
        <v>125332</v>
      </c>
      <c r="P18" s="13">
        <f t="shared" si="13"/>
        <v>208337</v>
      </c>
      <c r="Q18" s="14" t="str">
        <f t="shared" si="11"/>
        <v>0</v>
      </c>
      <c r="R18" s="14" t="str">
        <f t="shared" si="11"/>
        <v>0</v>
      </c>
      <c r="S18" s="14">
        <f t="shared" si="11"/>
        <v>128.30073924731181</v>
      </c>
      <c r="T18" s="14">
        <f t="shared" si="11"/>
        <v>193.7255376344086</v>
      </c>
      <c r="U18" s="14">
        <f t="shared" si="12"/>
        <v>322.02627688172038</v>
      </c>
    </row>
    <row r="19" spans="1:23" x14ac:dyDescent="0.25">
      <c r="A19" s="30" t="s">
        <v>8</v>
      </c>
      <c r="B19" s="11" t="str">
        <f t="shared" si="0"/>
        <v>-</v>
      </c>
      <c r="C19" s="11" t="str">
        <f t="shared" si="6"/>
        <v>-</v>
      </c>
      <c r="D19" s="11">
        <f t="shared" si="7"/>
        <v>1.2656750167364924E-3</v>
      </c>
      <c r="E19" s="11">
        <f t="shared" si="8"/>
        <v>1.4084222848794012E-3</v>
      </c>
      <c r="F19" s="11">
        <f t="shared" si="9"/>
        <v>2.6740973016158936E-3</v>
      </c>
      <c r="G19" s="11" t="str">
        <f t="shared" si="1"/>
        <v>-</v>
      </c>
      <c r="H19" s="11" t="str">
        <f t="shared" si="2"/>
        <v>-</v>
      </c>
      <c r="I19" s="11">
        <f t="shared" si="3"/>
        <v>1.2656750167364924E-3</v>
      </c>
      <c r="J19" s="11">
        <f t="shared" si="4"/>
        <v>1.4084222848794012E-3</v>
      </c>
      <c r="K19" s="11">
        <f t="shared" si="5"/>
        <v>2.6740973016158936E-3</v>
      </c>
      <c r="L19" s="13"/>
      <c r="M19" s="13"/>
      <c r="N19" s="13">
        <f>7039+70428</f>
        <v>77467</v>
      </c>
      <c r="O19" s="13">
        <f>64569+21635</f>
        <v>86204</v>
      </c>
      <c r="P19" s="13">
        <f t="shared" si="13"/>
        <v>163671</v>
      </c>
      <c r="Q19" s="14" t="str">
        <f t="shared" si="11"/>
        <v>0</v>
      </c>
      <c r="R19" s="14" t="str">
        <f t="shared" si="11"/>
        <v>0</v>
      </c>
      <c r="S19" s="14">
        <f t="shared" si="11"/>
        <v>119.74065860215053</v>
      </c>
      <c r="T19" s="14">
        <f t="shared" si="11"/>
        <v>133.24543010752686</v>
      </c>
      <c r="U19" s="14">
        <f t="shared" si="12"/>
        <v>252.9860887096774</v>
      </c>
    </row>
    <row r="20" spans="1:23" x14ac:dyDescent="0.25">
      <c r="A20" s="30" t="s">
        <v>9</v>
      </c>
      <c r="B20" s="11">
        <f t="shared" si="0"/>
        <v>3.3221375492547105E-3</v>
      </c>
      <c r="C20" s="11" t="str">
        <f t="shared" si="6"/>
        <v>-</v>
      </c>
      <c r="D20" s="11">
        <f t="shared" si="7"/>
        <v>3.5706422932690915E-3</v>
      </c>
      <c r="E20" s="11">
        <f t="shared" si="8"/>
        <v>4.8686670399956215E-3</v>
      </c>
      <c r="F20" s="11">
        <f t="shared" si="9"/>
        <v>1.1761446882519424E-2</v>
      </c>
      <c r="G20" s="11">
        <f t="shared" si="1"/>
        <v>3.3221375492547105E-3</v>
      </c>
      <c r="H20" s="11" t="str">
        <f t="shared" si="2"/>
        <v>-</v>
      </c>
      <c r="I20" s="11">
        <f t="shared" si="3"/>
        <v>3.5706422932690915E-3</v>
      </c>
      <c r="J20" s="11">
        <f t="shared" si="4"/>
        <v>4.8686670399956215E-3</v>
      </c>
      <c r="K20" s="11">
        <f t="shared" si="5"/>
        <v>1.1761446882519422E-2</v>
      </c>
      <c r="L20" s="13">
        <v>203335</v>
      </c>
      <c r="M20" s="13"/>
      <c r="N20" s="13">
        <v>218545</v>
      </c>
      <c r="O20" s="13">
        <v>297992</v>
      </c>
      <c r="P20" s="13">
        <f t="shared" si="13"/>
        <v>719872</v>
      </c>
      <c r="Q20" s="14">
        <f t="shared" si="11"/>
        <v>314.29469086021504</v>
      </c>
      <c r="R20" s="14" t="str">
        <f t="shared" si="11"/>
        <v>0</v>
      </c>
      <c r="S20" s="14">
        <f t="shared" si="11"/>
        <v>337.80477150537632</v>
      </c>
      <c r="T20" s="14">
        <f t="shared" si="11"/>
        <v>460.60591397849458</v>
      </c>
      <c r="U20" s="14">
        <f t="shared" si="12"/>
        <v>1112.7053763440858</v>
      </c>
    </row>
    <row r="21" spans="1:23" x14ac:dyDescent="0.25">
      <c r="A21" s="30" t="s">
        <v>10</v>
      </c>
      <c r="B21" s="11" t="str">
        <f t="shared" si="0"/>
        <v>-</v>
      </c>
      <c r="C21" s="11" t="str">
        <f t="shared" si="6"/>
        <v>-</v>
      </c>
      <c r="D21" s="11">
        <f t="shared" si="7"/>
        <v>1.3484543813665555E-2</v>
      </c>
      <c r="E21" s="11">
        <f t="shared" si="8"/>
        <v>4.4067194310368702E-3</v>
      </c>
      <c r="F21" s="11">
        <f t="shared" si="9"/>
        <v>1.7891263244702426E-2</v>
      </c>
      <c r="G21" s="11" t="str">
        <f t="shared" si="1"/>
        <v>-</v>
      </c>
      <c r="H21" s="11" t="str">
        <f t="shared" si="2"/>
        <v>-</v>
      </c>
      <c r="I21" s="11">
        <f t="shared" si="3"/>
        <v>1.3484543813665555E-2</v>
      </c>
      <c r="J21" s="11">
        <f t="shared" si="4"/>
        <v>4.4067194310368693E-3</v>
      </c>
      <c r="K21" s="11">
        <f t="shared" si="5"/>
        <v>1.7891263244702423E-2</v>
      </c>
      <c r="L21" s="13"/>
      <c r="M21" s="13"/>
      <c r="N21" s="13">
        <v>825336</v>
      </c>
      <c r="O21" s="13">
        <v>269718</v>
      </c>
      <c r="P21" s="13">
        <f t="shared" si="13"/>
        <v>1095054</v>
      </c>
      <c r="Q21" s="14" t="str">
        <f t="shared" si="11"/>
        <v>0</v>
      </c>
      <c r="R21" s="14" t="str">
        <f t="shared" si="11"/>
        <v>0</v>
      </c>
      <c r="S21" s="14">
        <f t="shared" si="11"/>
        <v>1275.7209677419353</v>
      </c>
      <c r="T21" s="14">
        <f t="shared" si="11"/>
        <v>416.90282258064508</v>
      </c>
      <c r="U21" s="14">
        <f t="shared" si="12"/>
        <v>1692.6237903225804</v>
      </c>
    </row>
    <row r="22" spans="1:23" x14ac:dyDescent="0.25">
      <c r="A22" s="30" t="s">
        <v>74</v>
      </c>
      <c r="B22" s="11" t="str">
        <f t="shared" si="0"/>
        <v>-</v>
      </c>
      <c r="C22" s="11" t="str">
        <f t="shared" si="6"/>
        <v>-</v>
      </c>
      <c r="D22" s="11">
        <f t="shared" si="7"/>
        <v>3.1461256092634596E-3</v>
      </c>
      <c r="E22" s="11">
        <f t="shared" si="8"/>
        <v>5.4164558011602607E-4</v>
      </c>
      <c r="F22" s="11">
        <f t="shared" si="9"/>
        <v>3.6877711893794855E-3</v>
      </c>
      <c r="G22" s="11" t="str">
        <f t="shared" si="1"/>
        <v>-</v>
      </c>
      <c r="H22" s="11" t="str">
        <f t="shared" si="2"/>
        <v>-</v>
      </c>
      <c r="I22" s="11">
        <f t="shared" si="3"/>
        <v>3.1461256092634596E-3</v>
      </c>
      <c r="J22" s="11">
        <f t="shared" si="4"/>
        <v>5.4164558011602607E-4</v>
      </c>
      <c r="K22" s="11">
        <f t="shared" si="5"/>
        <v>3.6877711893794859E-3</v>
      </c>
      <c r="L22" s="13"/>
      <c r="M22" s="13"/>
      <c r="N22" s="13">
        <v>192562</v>
      </c>
      <c r="O22" s="13">
        <v>33152</v>
      </c>
      <c r="P22" s="13">
        <f t="shared" si="13"/>
        <v>225714</v>
      </c>
      <c r="Q22" s="14" t="str">
        <f t="shared" si="11"/>
        <v>0</v>
      </c>
      <c r="R22" s="14" t="str">
        <f t="shared" si="11"/>
        <v>0</v>
      </c>
      <c r="S22" s="14">
        <f t="shared" si="11"/>
        <v>297.64287634408601</v>
      </c>
      <c r="T22" s="14">
        <f t="shared" si="11"/>
        <v>51.243010752688171</v>
      </c>
      <c r="U22" s="14">
        <f t="shared" si="12"/>
        <v>348.88588709677418</v>
      </c>
    </row>
    <row r="23" spans="1:23" x14ac:dyDescent="0.25">
      <c r="A23" s="30" t="s">
        <v>75</v>
      </c>
      <c r="B23" s="11">
        <f t="shared" si="0"/>
        <v>7.9709734695453029E-3</v>
      </c>
      <c r="C23" s="11" t="str">
        <f t="shared" si="6"/>
        <v>-</v>
      </c>
      <c r="D23" s="11">
        <f t="shared" si="7"/>
        <v>1.5820651789875432E-3</v>
      </c>
      <c r="E23" s="11">
        <f t="shared" si="8"/>
        <v>2.3608930976214372E-3</v>
      </c>
      <c r="F23" s="11">
        <f t="shared" si="9"/>
        <v>1.1913931746154283E-2</v>
      </c>
      <c r="G23" s="11">
        <f t="shared" si="1"/>
        <v>7.9709734695453029E-3</v>
      </c>
      <c r="H23" s="11" t="str">
        <f t="shared" si="2"/>
        <v>-</v>
      </c>
      <c r="I23" s="11">
        <f t="shared" si="3"/>
        <v>1.5820651789875432E-3</v>
      </c>
      <c r="J23" s="11">
        <f t="shared" si="4"/>
        <v>2.3608930976214372E-3</v>
      </c>
      <c r="K23" s="11">
        <f t="shared" si="5"/>
        <v>1.1913931746154283E-2</v>
      </c>
      <c r="L23" s="13">
        <v>487872</v>
      </c>
      <c r="M23" s="13"/>
      <c r="N23" s="13">
        <v>96832</v>
      </c>
      <c r="O23" s="13">
        <v>144501</v>
      </c>
      <c r="P23" s="13">
        <f t="shared" si="13"/>
        <v>729205</v>
      </c>
      <c r="Q23" s="14">
        <f t="shared" si="11"/>
        <v>754.10322580645152</v>
      </c>
      <c r="R23" s="14" t="str">
        <f t="shared" si="11"/>
        <v>0</v>
      </c>
      <c r="S23" s="14">
        <f t="shared" si="11"/>
        <v>149.67311827956988</v>
      </c>
      <c r="T23" s="14">
        <f t="shared" si="11"/>
        <v>223.35504032258063</v>
      </c>
      <c r="U23" s="14">
        <f t="shared" si="12"/>
        <v>1127.1313844086021</v>
      </c>
    </row>
    <row r="24" spans="1:23" x14ac:dyDescent="0.25">
      <c r="A24" s="30" t="s">
        <v>11</v>
      </c>
      <c r="B24" s="11">
        <f t="shared" si="0"/>
        <v>5.7134688019122287E-3</v>
      </c>
      <c r="C24" s="11" t="str">
        <f t="shared" si="6"/>
        <v>-</v>
      </c>
      <c r="D24" s="11">
        <f t="shared" si="7"/>
        <v>1.5394779031329815E-2</v>
      </c>
      <c r="E24" s="11">
        <f t="shared" si="8"/>
        <v>6.9968381406584233E-3</v>
      </c>
      <c r="F24" s="11">
        <f t="shared" si="9"/>
        <v>2.8105085973900466E-2</v>
      </c>
      <c r="G24" s="11">
        <f t="shared" si="1"/>
        <v>5.7134688019122278E-3</v>
      </c>
      <c r="H24" s="11" t="str">
        <f t="shared" si="2"/>
        <v>-</v>
      </c>
      <c r="I24" s="11">
        <f t="shared" si="3"/>
        <v>1.5394779031329815E-2</v>
      </c>
      <c r="J24" s="11">
        <f t="shared" si="4"/>
        <v>6.9968381406584242E-3</v>
      </c>
      <c r="K24" s="11">
        <f t="shared" si="5"/>
        <v>2.8105085973900466E-2</v>
      </c>
      <c r="L24" s="13">
        <v>349699</v>
      </c>
      <c r="M24" s="13"/>
      <c r="N24" s="13">
        <v>942254</v>
      </c>
      <c r="O24" s="13">
        <v>428249</v>
      </c>
      <c r="P24" s="13">
        <f t="shared" si="13"/>
        <v>1720202</v>
      </c>
      <c r="Q24" s="14">
        <f t="shared" si="11"/>
        <v>540.52936827956978</v>
      </c>
      <c r="R24" s="14" t="str">
        <f t="shared" si="11"/>
        <v>0</v>
      </c>
      <c r="S24" s="14">
        <f t="shared" si="11"/>
        <v>1456.4409946236558</v>
      </c>
      <c r="T24" s="14">
        <f t="shared" si="11"/>
        <v>661.94401881720432</v>
      </c>
      <c r="U24" s="14">
        <f t="shared" si="12"/>
        <v>2658.9143817204299</v>
      </c>
    </row>
    <row r="25" spans="1:23" x14ac:dyDescent="0.25">
      <c r="A25" s="30" t="s">
        <v>12</v>
      </c>
      <c r="B25" s="11" t="str">
        <f t="shared" si="0"/>
        <v>-</v>
      </c>
      <c r="C25" s="11" t="str">
        <f t="shared" si="6"/>
        <v>-</v>
      </c>
      <c r="D25" s="11">
        <f t="shared" si="7"/>
        <v>8.3046985123617217E-3</v>
      </c>
      <c r="E25" s="11">
        <f t="shared" si="8"/>
        <v>2.5793354662915404E-3</v>
      </c>
      <c r="F25" s="11">
        <f t="shared" si="9"/>
        <v>1.0884033978653262E-2</v>
      </c>
      <c r="G25" s="11" t="str">
        <f t="shared" si="1"/>
        <v>-</v>
      </c>
      <c r="H25" s="11" t="str">
        <f t="shared" si="2"/>
        <v>-</v>
      </c>
      <c r="I25" s="11">
        <f t="shared" si="3"/>
        <v>8.3046985123617235E-3</v>
      </c>
      <c r="J25" s="11">
        <f t="shared" si="4"/>
        <v>2.5793354662915404E-3</v>
      </c>
      <c r="K25" s="11">
        <f t="shared" si="5"/>
        <v>1.0884033978653264E-2</v>
      </c>
      <c r="L25" s="13"/>
      <c r="M25" s="13"/>
      <c r="N25" s="13">
        <v>508298</v>
      </c>
      <c r="O25" s="13">
        <v>157871</v>
      </c>
      <c r="P25" s="13">
        <f>L25+M25+N25+O25</f>
        <v>666169</v>
      </c>
      <c r="Q25" s="14" t="str">
        <f t="shared" si="11"/>
        <v>0</v>
      </c>
      <c r="R25" s="14" t="str">
        <f t="shared" si="11"/>
        <v>0</v>
      </c>
      <c r="S25" s="14">
        <f t="shared" si="11"/>
        <v>785.67567204301076</v>
      </c>
      <c r="T25" s="14">
        <f t="shared" si="11"/>
        <v>244.02103494623654</v>
      </c>
      <c r="U25" s="14">
        <f t="shared" si="12"/>
        <v>1029.6967069892473</v>
      </c>
    </row>
    <row r="26" spans="1:23" x14ac:dyDescent="0.25">
      <c r="A26" s="30" t="s">
        <v>13</v>
      </c>
      <c r="B26" s="11">
        <f t="shared" si="0"/>
        <v>9.9977820829059861E-3</v>
      </c>
      <c r="C26" s="11" t="str">
        <f t="shared" si="6"/>
        <v>-</v>
      </c>
      <c r="D26" s="11">
        <f t="shared" si="7"/>
        <v>3.478772327746878E-3</v>
      </c>
      <c r="E26" s="11">
        <f t="shared" si="8"/>
        <v>5.9847000481569844E-3</v>
      </c>
      <c r="F26" s="11">
        <f t="shared" si="9"/>
        <v>1.9461254458809848E-2</v>
      </c>
      <c r="G26" s="11">
        <f t="shared" si="1"/>
        <v>9.9977820829059861E-3</v>
      </c>
      <c r="H26" s="11" t="str">
        <f t="shared" si="2"/>
        <v>-</v>
      </c>
      <c r="I26" s="11">
        <f t="shared" si="3"/>
        <v>3.478772327746878E-3</v>
      </c>
      <c r="J26" s="11">
        <f t="shared" si="4"/>
        <v>5.9847000481569844E-3</v>
      </c>
      <c r="K26" s="11">
        <f t="shared" si="5"/>
        <v>1.9461254458809848E-2</v>
      </c>
      <c r="L26" s="13">
        <v>611925</v>
      </c>
      <c r="M26" s="13"/>
      <c r="N26" s="13">
        <v>212922</v>
      </c>
      <c r="O26" s="13">
        <v>366300</v>
      </c>
      <c r="P26" s="13">
        <f>L26+M26+N26+O26</f>
        <v>1191147</v>
      </c>
      <c r="Q26" s="14">
        <f t="shared" si="11"/>
        <v>945.85181451612902</v>
      </c>
      <c r="R26" s="14" t="str">
        <f t="shared" si="11"/>
        <v>0</v>
      </c>
      <c r="S26" s="14">
        <f t="shared" si="11"/>
        <v>329.11330645161286</v>
      </c>
      <c r="T26" s="14">
        <f t="shared" si="11"/>
        <v>566.1895161290322</v>
      </c>
      <c r="U26" s="14">
        <f t="shared" si="12"/>
        <v>1841.154637096774</v>
      </c>
    </row>
    <row r="27" spans="1:23" x14ac:dyDescent="0.25">
      <c r="A27" s="30" t="s">
        <v>14</v>
      </c>
      <c r="B27" s="11" t="str">
        <f t="shared" si="0"/>
        <v>-</v>
      </c>
      <c r="C27" s="11" t="str">
        <f t="shared" si="6"/>
        <v>-</v>
      </c>
      <c r="D27" s="11">
        <f t="shared" si="7"/>
        <v>1.1714360053311702E-2</v>
      </c>
      <c r="E27" s="11">
        <f t="shared" si="8"/>
        <v>1.1569831916194593E-2</v>
      </c>
      <c r="F27" s="11">
        <f t="shared" si="9"/>
        <v>2.3284191969506294E-2</v>
      </c>
      <c r="G27" s="11" t="str">
        <f t="shared" si="1"/>
        <v>-</v>
      </c>
      <c r="H27" s="11" t="str">
        <f t="shared" si="2"/>
        <v>-</v>
      </c>
      <c r="I27" s="11">
        <f t="shared" si="3"/>
        <v>1.1714360053311702E-2</v>
      </c>
      <c r="J27" s="11">
        <f t="shared" si="4"/>
        <v>1.1569831916194593E-2</v>
      </c>
      <c r="K27" s="11">
        <f t="shared" si="5"/>
        <v>2.3284191969506297E-2</v>
      </c>
      <c r="L27" s="13"/>
      <c r="M27" s="13"/>
      <c r="N27" s="13">
        <v>716990</v>
      </c>
      <c r="O27" s="13">
        <v>708144</v>
      </c>
      <c r="P27" s="13">
        <f>L27+M27+N27+O27</f>
        <v>1425134</v>
      </c>
      <c r="Q27" s="14" t="str">
        <f t="shared" si="11"/>
        <v>0</v>
      </c>
      <c r="R27" s="14" t="str">
        <f t="shared" si="11"/>
        <v>0</v>
      </c>
      <c r="S27" s="14">
        <f t="shared" si="11"/>
        <v>1108.2506720430108</v>
      </c>
      <c r="T27" s="14">
        <f t="shared" si="11"/>
        <v>1094.5774193548386</v>
      </c>
      <c r="U27" s="14">
        <f t="shared" si="12"/>
        <v>2202.8280913978497</v>
      </c>
    </row>
    <row r="28" spans="1:23" x14ac:dyDescent="0.25">
      <c r="A28" s="30" t="s">
        <v>15</v>
      </c>
      <c r="B28" s="11" t="str">
        <f t="shared" si="0"/>
        <v>-</v>
      </c>
      <c r="C28" s="11" t="str">
        <f t="shared" si="6"/>
        <v>-</v>
      </c>
      <c r="D28" s="11">
        <f t="shared" si="7"/>
        <v>5.2504592068679454E-3</v>
      </c>
      <c r="E28" s="11">
        <f t="shared" si="8"/>
        <v>8.435584212841617E-3</v>
      </c>
      <c r="F28" s="11">
        <f t="shared" si="9"/>
        <v>1.3686043419709562E-2</v>
      </c>
      <c r="G28" s="11" t="str">
        <f t="shared" si="1"/>
        <v>-</v>
      </c>
      <c r="H28" s="11" t="str">
        <f t="shared" si="2"/>
        <v>-</v>
      </c>
      <c r="I28" s="11">
        <f t="shared" si="3"/>
        <v>5.2504592068679454E-3</v>
      </c>
      <c r="J28" s="11">
        <f t="shared" si="4"/>
        <v>8.4355842128416188E-3</v>
      </c>
      <c r="K28" s="11">
        <f t="shared" si="5"/>
        <v>1.3686043419709564E-2</v>
      </c>
      <c r="L28" s="13"/>
      <c r="M28" s="13"/>
      <c r="N28" s="13">
        <v>321360</v>
      </c>
      <c r="O28" s="13">
        <v>516309</v>
      </c>
      <c r="P28" s="13">
        <f>L28+M28+N28+O28</f>
        <v>837669</v>
      </c>
      <c r="Q28" s="14" t="str">
        <f t="shared" si="11"/>
        <v>0</v>
      </c>
      <c r="R28" s="14" t="str">
        <f t="shared" si="11"/>
        <v>0</v>
      </c>
      <c r="S28" s="14">
        <f t="shared" si="11"/>
        <v>496.72580645161287</v>
      </c>
      <c r="T28" s="14">
        <f t="shared" si="11"/>
        <v>798.05826612903229</v>
      </c>
      <c r="U28" s="14">
        <f t="shared" si="12"/>
        <v>1294.7840725806452</v>
      </c>
    </row>
    <row r="29" spans="1:23" x14ac:dyDescent="0.25">
      <c r="A29" s="30" t="s">
        <v>16</v>
      </c>
      <c r="B29" s="11">
        <f t="shared" si="0"/>
        <v>1.1488810546992271E-2</v>
      </c>
      <c r="C29" s="11" t="str">
        <f t="shared" si="6"/>
        <v>-</v>
      </c>
      <c r="D29" s="11">
        <f t="shared" si="7"/>
        <v>1.8528291513546652E-2</v>
      </c>
      <c r="E29" s="11">
        <f t="shared" si="8"/>
        <v>1.5107519964317268E-2</v>
      </c>
      <c r="F29" s="11">
        <f t="shared" si="9"/>
        <v>4.512462202485619E-2</v>
      </c>
      <c r="G29" s="11">
        <f t="shared" si="1"/>
        <v>1.1488810546992271E-2</v>
      </c>
      <c r="H29" s="11" t="str">
        <f t="shared" si="2"/>
        <v>-</v>
      </c>
      <c r="I29" s="11">
        <f t="shared" si="3"/>
        <v>1.8528291513546652E-2</v>
      </c>
      <c r="J29" s="11">
        <f t="shared" si="4"/>
        <v>1.5107519964317266E-2</v>
      </c>
      <c r="K29" s="11">
        <f t="shared" si="5"/>
        <v>4.5124622024856197E-2</v>
      </c>
      <c r="L29" s="13">
        <v>703185</v>
      </c>
      <c r="M29" s="13"/>
      <c r="N29" s="13">
        <v>1134044</v>
      </c>
      <c r="O29" s="13">
        <v>924672</v>
      </c>
      <c r="P29" s="13">
        <f>L29+M29+N29+O29</f>
        <v>2761901</v>
      </c>
      <c r="Q29" s="14">
        <f t="shared" si="11"/>
        <v>1086.9122983870966</v>
      </c>
      <c r="R29" s="14" t="str">
        <f t="shared" si="11"/>
        <v>0</v>
      </c>
      <c r="S29" s="14">
        <f t="shared" si="11"/>
        <v>1752.8905913978492</v>
      </c>
      <c r="T29" s="14">
        <f t="shared" si="11"/>
        <v>1429.264516129032</v>
      </c>
      <c r="U29" s="14">
        <f t="shared" si="12"/>
        <v>4269.0674059139783</v>
      </c>
    </row>
    <row r="30" spans="1:23" x14ac:dyDescent="0.25">
      <c r="A30" s="30" t="s">
        <v>49</v>
      </c>
      <c r="B30" s="11" t="str">
        <f t="shared" si="0"/>
        <v>-</v>
      </c>
      <c r="C30" s="11" t="str">
        <f t="shared" si="6"/>
        <v>-</v>
      </c>
      <c r="D30" s="11">
        <f t="shared" si="7"/>
        <v>1.5218750753091094E-3</v>
      </c>
      <c r="E30" s="11">
        <f t="shared" si="8"/>
        <v>2.8526580082124199E-4</v>
      </c>
      <c r="F30" s="11">
        <f t="shared" si="9"/>
        <v>1.8071408761303515E-3</v>
      </c>
      <c r="G30" s="11" t="str">
        <f t="shared" si="1"/>
        <v>-</v>
      </c>
      <c r="H30" s="11" t="str">
        <f t="shared" si="2"/>
        <v>-</v>
      </c>
      <c r="I30" s="11">
        <f t="shared" si="3"/>
        <v>1.5218750753091094E-3</v>
      </c>
      <c r="J30" s="11">
        <f t="shared" si="4"/>
        <v>2.8526580082124204E-4</v>
      </c>
      <c r="K30" s="11">
        <f t="shared" si="5"/>
        <v>1.8071408761303517E-3</v>
      </c>
      <c r="L30" s="13"/>
      <c r="M30" s="13"/>
      <c r="N30" s="13">
        <v>93148</v>
      </c>
      <c r="O30" s="13">
        <v>17460</v>
      </c>
      <c r="P30" s="13">
        <f>N30+O30</f>
        <v>110608</v>
      </c>
      <c r="Q30" s="14" t="str">
        <f t="shared" si="11"/>
        <v>0</v>
      </c>
      <c r="R30" s="14" t="str">
        <f t="shared" si="11"/>
        <v>0</v>
      </c>
      <c r="S30" s="14">
        <f t="shared" si="11"/>
        <v>143.97876344086021</v>
      </c>
      <c r="T30" s="14">
        <f t="shared" si="11"/>
        <v>26.987903225806452</v>
      </c>
      <c r="U30" s="14">
        <f t="shared" si="12"/>
        <v>170.96666666666667</v>
      </c>
    </row>
    <row r="31" spans="1:23" x14ac:dyDescent="0.25">
      <c r="A31" s="30" t="s">
        <v>48</v>
      </c>
      <c r="B31" s="11">
        <f t="shared" si="0"/>
        <v>2.6543116839300674E-3</v>
      </c>
      <c r="C31" s="11" t="str">
        <f t="shared" si="6"/>
        <v>-</v>
      </c>
      <c r="D31" s="11">
        <f t="shared" si="7"/>
        <v>9.7047556145366291E-4</v>
      </c>
      <c r="E31" s="11">
        <f t="shared" si="8"/>
        <v>6.8810163043456067E-4</v>
      </c>
      <c r="F31" s="11">
        <f t="shared" si="9"/>
        <v>4.3128888758182911E-3</v>
      </c>
      <c r="G31" s="11">
        <f t="shared" si="1"/>
        <v>2.6543116839300679E-3</v>
      </c>
      <c r="H31" s="11" t="str">
        <f t="shared" si="2"/>
        <v>-</v>
      </c>
      <c r="I31" s="11">
        <f t="shared" si="3"/>
        <v>9.7047556145366302E-4</v>
      </c>
      <c r="J31" s="11">
        <f t="shared" si="4"/>
        <v>6.8810163043456067E-4</v>
      </c>
      <c r="K31" s="11">
        <f t="shared" si="5"/>
        <v>4.3128888758182911E-3</v>
      </c>
      <c r="L31" s="13">
        <v>162460</v>
      </c>
      <c r="M31" s="13"/>
      <c r="N31" s="13">
        <v>59399</v>
      </c>
      <c r="O31" s="13">
        <v>42116</v>
      </c>
      <c r="P31" s="13">
        <f t="shared" ref="P31" si="14">SUM(L31:O31)</f>
        <v>263975</v>
      </c>
      <c r="Q31" s="14">
        <f t="shared" si="11"/>
        <v>251.11424731182797</v>
      </c>
      <c r="R31" s="14" t="str">
        <f t="shared" si="11"/>
        <v>0</v>
      </c>
      <c r="S31" s="14">
        <f t="shared" si="11"/>
        <v>91.812970430107526</v>
      </c>
      <c r="T31" s="14">
        <f t="shared" si="11"/>
        <v>65.09865591397849</v>
      </c>
      <c r="U31" s="14">
        <f t="shared" si="12"/>
        <v>408.02587365591398</v>
      </c>
    </row>
    <row r="32" spans="1:23" x14ac:dyDescent="0.25">
      <c r="A32" s="30" t="s">
        <v>47</v>
      </c>
      <c r="B32" s="11" t="str">
        <f t="shared" si="0"/>
        <v>-</v>
      </c>
      <c r="C32" s="11" t="str">
        <f t="shared" si="6"/>
        <v>-</v>
      </c>
      <c r="D32" s="11">
        <f t="shared" si="7"/>
        <v>3.1865137570085975E-3</v>
      </c>
      <c r="E32" s="11">
        <f t="shared" si="8"/>
        <v>4.6882601114350169E-4</v>
      </c>
      <c r="F32" s="11">
        <f t="shared" si="9"/>
        <v>3.6553397681520993E-3</v>
      </c>
      <c r="G32" s="11" t="str">
        <f t="shared" si="1"/>
        <v>-</v>
      </c>
      <c r="H32" s="11" t="str">
        <f t="shared" si="2"/>
        <v>-</v>
      </c>
      <c r="I32" s="11">
        <f t="shared" si="3"/>
        <v>3.1865137570085975E-3</v>
      </c>
      <c r="J32" s="11">
        <f t="shared" si="4"/>
        <v>4.6882601114350169E-4</v>
      </c>
      <c r="K32" s="11">
        <f t="shared" si="5"/>
        <v>3.6553397681520993E-3</v>
      </c>
      <c r="L32" s="13"/>
      <c r="M32" s="13"/>
      <c r="N32" s="13">
        <f>65766+129268</f>
        <v>195034</v>
      </c>
      <c r="O32" s="13">
        <v>28695</v>
      </c>
      <c r="P32" s="13">
        <f>N32+O32</f>
        <v>223729</v>
      </c>
      <c r="Q32" s="14" t="str">
        <f t="shared" si="11"/>
        <v>0</v>
      </c>
      <c r="R32" s="14" t="str">
        <f t="shared" si="11"/>
        <v>0</v>
      </c>
      <c r="S32" s="14">
        <f t="shared" si="11"/>
        <v>301.46384408602148</v>
      </c>
      <c r="T32" s="14">
        <f t="shared" si="11"/>
        <v>44.353830645161288</v>
      </c>
      <c r="U32" s="14">
        <f t="shared" si="12"/>
        <v>345.81767473118276</v>
      </c>
      <c r="W32" s="31"/>
    </row>
    <row r="33" spans="1:21" x14ac:dyDescent="0.25">
      <c r="A33" s="30" t="s">
        <v>45</v>
      </c>
      <c r="B33" s="11" t="str">
        <f t="shared" si="0"/>
        <v>-</v>
      </c>
      <c r="C33" s="11" t="str">
        <f t="shared" si="6"/>
        <v>-</v>
      </c>
      <c r="D33" s="11">
        <f t="shared" si="7"/>
        <v>1.3181371293617505E-3</v>
      </c>
      <c r="E33" s="11">
        <f t="shared" si="8"/>
        <v>4.8948409124421064E-3</v>
      </c>
      <c r="F33" s="11">
        <f t="shared" si="9"/>
        <v>6.2129780418038565E-3</v>
      </c>
      <c r="G33" s="11" t="str">
        <f t="shared" si="1"/>
        <v>-</v>
      </c>
      <c r="H33" s="11" t="str">
        <f t="shared" si="2"/>
        <v>-</v>
      </c>
      <c r="I33" s="11">
        <f t="shared" si="3"/>
        <v>1.3181371293617503E-3</v>
      </c>
      <c r="J33" s="11">
        <f t="shared" si="4"/>
        <v>4.8948409124421064E-3</v>
      </c>
      <c r="K33" s="11">
        <f t="shared" si="5"/>
        <v>6.2129780418038573E-3</v>
      </c>
      <c r="L33" s="13"/>
      <c r="M33" s="13"/>
      <c r="N33" s="13">
        <v>80678</v>
      </c>
      <c r="O33" s="13">
        <v>299594</v>
      </c>
      <c r="P33" s="13">
        <f>N33+O33</f>
        <v>380272</v>
      </c>
      <c r="Q33" s="14" t="str">
        <f t="shared" si="11"/>
        <v>0</v>
      </c>
      <c r="R33" s="14" t="str">
        <f t="shared" si="11"/>
        <v>0</v>
      </c>
      <c r="S33" s="14">
        <f t="shared" si="11"/>
        <v>124.70389784946235</v>
      </c>
      <c r="T33" s="14">
        <f t="shared" si="11"/>
        <v>463.08212365591396</v>
      </c>
      <c r="U33" s="14">
        <f t="shared" si="12"/>
        <v>587.78602150537631</v>
      </c>
    </row>
    <row r="34" spans="1:21" x14ac:dyDescent="0.25">
      <c r="A34" s="30" t="s">
        <v>30</v>
      </c>
      <c r="B34" s="11" t="str">
        <f t="shared" si="0"/>
        <v>-</v>
      </c>
      <c r="C34" s="11" t="str">
        <f t="shared" si="6"/>
        <v>-</v>
      </c>
      <c r="D34" s="11">
        <f t="shared" si="7"/>
        <v>5.6587520111361499E-4</v>
      </c>
      <c r="E34" s="11">
        <f t="shared" si="8"/>
        <v>2.1110976320569486E-3</v>
      </c>
      <c r="F34" s="11">
        <f t="shared" si="9"/>
        <v>2.6769728331705635E-3</v>
      </c>
      <c r="G34" s="11" t="str">
        <f t="shared" si="1"/>
        <v>-</v>
      </c>
      <c r="H34" s="11" t="str">
        <f t="shared" si="2"/>
        <v>-</v>
      </c>
      <c r="I34" s="11">
        <f t="shared" si="3"/>
        <v>5.6587520111361499E-4</v>
      </c>
      <c r="J34" s="11">
        <f t="shared" si="4"/>
        <v>2.1110976320569486E-3</v>
      </c>
      <c r="K34" s="11">
        <f t="shared" si="5"/>
        <v>2.6769728331705635E-3</v>
      </c>
      <c r="L34" s="13"/>
      <c r="M34" s="13"/>
      <c r="N34" s="13">
        <v>34635</v>
      </c>
      <c r="O34" s="13">
        <v>129212</v>
      </c>
      <c r="P34" s="13">
        <f>SUM(L34:O34)</f>
        <v>163847</v>
      </c>
      <c r="Q34" s="14" t="str">
        <f t="shared" si="11"/>
        <v>0</v>
      </c>
      <c r="R34" s="14" t="str">
        <f t="shared" si="11"/>
        <v>0</v>
      </c>
      <c r="S34" s="14">
        <f t="shared" si="11"/>
        <v>53.535282258064512</v>
      </c>
      <c r="T34" s="14">
        <f t="shared" si="11"/>
        <v>199.72284946236559</v>
      </c>
      <c r="U34" s="14">
        <f t="shared" si="12"/>
        <v>253.2581317204301</v>
      </c>
    </row>
    <row r="35" spans="1:21" x14ac:dyDescent="0.25">
      <c r="A35" s="30" t="s">
        <v>50</v>
      </c>
      <c r="B35" s="11">
        <f t="shared" si="0"/>
        <v>2.6243963528130173E-3</v>
      </c>
      <c r="C35" s="11" t="str">
        <f t="shared" si="6"/>
        <v>-</v>
      </c>
      <c r="D35" s="11">
        <f t="shared" si="7"/>
        <v>5.037767901307182E-3</v>
      </c>
      <c r="E35" s="11">
        <f t="shared" si="8"/>
        <v>1.0406810108310328E-3</v>
      </c>
      <c r="F35" s="11">
        <f t="shared" si="9"/>
        <v>8.7028452649512318E-3</v>
      </c>
      <c r="G35" s="11">
        <f t="shared" si="1"/>
        <v>2.6243963528130177E-3</v>
      </c>
      <c r="H35" s="11" t="str">
        <f t="shared" si="2"/>
        <v>-</v>
      </c>
      <c r="I35" s="11">
        <f t="shared" si="3"/>
        <v>5.037767901307182E-3</v>
      </c>
      <c r="J35" s="11">
        <f t="shared" si="4"/>
        <v>1.0406810108310326E-3</v>
      </c>
      <c r="K35" s="11">
        <f t="shared" si="5"/>
        <v>8.7028452649512335E-3</v>
      </c>
      <c r="L35" s="13">
        <v>160629</v>
      </c>
      <c r="M35" s="13"/>
      <c r="N35" s="13">
        <v>308342</v>
      </c>
      <c r="O35" s="13">
        <v>63696</v>
      </c>
      <c r="P35" s="13">
        <f>L35+M35+N35+O35</f>
        <v>532667</v>
      </c>
      <c r="Q35" s="14">
        <f t="shared" si="11"/>
        <v>248.28407258064516</v>
      </c>
      <c r="R35" s="14" t="str">
        <f t="shared" si="11"/>
        <v>0</v>
      </c>
      <c r="S35" s="14">
        <f t="shared" si="11"/>
        <v>476.60389784946233</v>
      </c>
      <c r="T35" s="14">
        <f t="shared" si="11"/>
        <v>98.454838709677404</v>
      </c>
      <c r="U35" s="14">
        <f t="shared" si="12"/>
        <v>823.342809139785</v>
      </c>
    </row>
    <row r="36" spans="1:21" x14ac:dyDescent="0.25">
      <c r="A36" s="30" t="s">
        <v>17</v>
      </c>
      <c r="B36" s="11" t="str">
        <f t="shared" si="0"/>
        <v>-</v>
      </c>
      <c r="C36" s="11" t="str">
        <f t="shared" si="6"/>
        <v>-</v>
      </c>
      <c r="D36" s="11">
        <f t="shared" si="7"/>
        <v>2.5469677642292861E-2</v>
      </c>
      <c r="E36" s="11">
        <f t="shared" si="8"/>
        <v>1.6455784822013174E-2</v>
      </c>
      <c r="F36" s="11">
        <f t="shared" si="9"/>
        <v>4.1925462464306035E-2</v>
      </c>
      <c r="G36" s="11" t="str">
        <f t="shared" si="1"/>
        <v>-</v>
      </c>
      <c r="H36" s="11" t="str">
        <f t="shared" si="2"/>
        <v>-</v>
      </c>
      <c r="I36" s="11">
        <f t="shared" si="3"/>
        <v>2.5469677642292864E-2</v>
      </c>
      <c r="J36" s="11">
        <f t="shared" si="4"/>
        <v>1.6455784822013174E-2</v>
      </c>
      <c r="K36" s="11">
        <f t="shared" si="5"/>
        <v>4.1925462464306035E-2</v>
      </c>
      <c r="L36" s="13"/>
      <c r="M36" s="13"/>
      <c r="N36" s="13">
        <v>1558899</v>
      </c>
      <c r="O36" s="13">
        <v>1007194</v>
      </c>
      <c r="P36" s="13">
        <f>L36+M36+N36+O36</f>
        <v>2566093</v>
      </c>
      <c r="Q36" s="14" t="str">
        <f t="shared" si="11"/>
        <v>0</v>
      </c>
      <c r="R36" s="14" t="str">
        <f t="shared" si="11"/>
        <v>0</v>
      </c>
      <c r="S36" s="14">
        <f t="shared" si="11"/>
        <v>2409.5885080645162</v>
      </c>
      <c r="T36" s="14">
        <f t="shared" si="11"/>
        <v>1556.8186827956988</v>
      </c>
      <c r="U36" s="14">
        <f t="shared" si="12"/>
        <v>3966.407190860215</v>
      </c>
    </row>
    <row r="37" spans="1:21" x14ac:dyDescent="0.25">
      <c r="A37" s="30" t="s">
        <v>18</v>
      </c>
      <c r="B37" s="11">
        <f t="shared" si="0"/>
        <v>4.8945795004825907E-3</v>
      </c>
      <c r="C37" s="11" t="str">
        <f t="shared" si="6"/>
        <v>-</v>
      </c>
      <c r="D37" s="11">
        <f t="shared" si="7"/>
        <v>5.1323255085381637E-2</v>
      </c>
      <c r="E37" s="11">
        <f t="shared" si="8"/>
        <v>2.4555683402342005E-2</v>
      </c>
      <c r="F37" s="11">
        <f t="shared" si="9"/>
        <v>8.0773517988206242E-2</v>
      </c>
      <c r="G37" s="11">
        <f t="shared" si="1"/>
        <v>4.8945795004825916E-3</v>
      </c>
      <c r="H37" s="11" t="str">
        <f t="shared" si="2"/>
        <v>-</v>
      </c>
      <c r="I37" s="11">
        <f t="shared" si="3"/>
        <v>5.1323255085381644E-2</v>
      </c>
      <c r="J37" s="11">
        <f t="shared" si="4"/>
        <v>2.4555683402342005E-2</v>
      </c>
      <c r="K37" s="11">
        <f t="shared" si="5"/>
        <v>8.0773517988206228E-2</v>
      </c>
      <c r="L37" s="13">
        <v>299578</v>
      </c>
      <c r="M37" s="13"/>
      <c r="N37" s="13">
        <v>3141295</v>
      </c>
      <c r="O37" s="13">
        <v>1502957</v>
      </c>
      <c r="P37" s="13">
        <f>SUM(L37:O37)</f>
        <v>4943830</v>
      </c>
      <c r="Q37" s="14">
        <f t="shared" si="11"/>
        <v>463.05739247311828</v>
      </c>
      <c r="R37" s="14" t="str">
        <f t="shared" si="11"/>
        <v>0</v>
      </c>
      <c r="S37" s="14">
        <f t="shared" si="11"/>
        <v>4855.4963037634407</v>
      </c>
      <c r="T37" s="14">
        <f t="shared" si="11"/>
        <v>2323.1190188172041</v>
      </c>
      <c r="U37" s="14">
        <f t="shared" si="12"/>
        <v>7641.6727150537627</v>
      </c>
    </row>
    <row r="38" spans="1:21" x14ac:dyDescent="0.25">
      <c r="A38" s="30" t="s">
        <v>19</v>
      </c>
      <c r="B38" s="11" t="str">
        <f t="shared" si="0"/>
        <v>-</v>
      </c>
      <c r="C38" s="11" t="str">
        <f t="shared" si="6"/>
        <v>-</v>
      </c>
      <c r="D38" s="11">
        <f t="shared" si="7"/>
        <v>2.1806495515355297E-3</v>
      </c>
      <c r="E38" s="11">
        <f t="shared" si="8"/>
        <v>2.1442315979255328E-3</v>
      </c>
      <c r="F38" s="11">
        <f t="shared" si="9"/>
        <v>4.3248811494610625E-3</v>
      </c>
      <c r="G38" s="11" t="str">
        <f t="shared" si="1"/>
        <v>-</v>
      </c>
      <c r="H38" s="11" t="str">
        <f t="shared" si="2"/>
        <v>-</v>
      </c>
      <c r="I38" s="11">
        <f t="shared" si="3"/>
        <v>2.1806495515355301E-3</v>
      </c>
      <c r="J38" s="11">
        <f t="shared" si="4"/>
        <v>2.1442315979255328E-3</v>
      </c>
      <c r="K38" s="11">
        <f t="shared" si="5"/>
        <v>4.3248811494610625E-3</v>
      </c>
      <c r="L38" s="13"/>
      <c r="M38" s="13"/>
      <c r="N38" s="13">
        <v>133469</v>
      </c>
      <c r="O38" s="13">
        <v>131240</v>
      </c>
      <c r="P38" s="13">
        <f>SUM(L38:O38)</f>
        <v>264709</v>
      </c>
      <c r="Q38" s="14" t="str">
        <f t="shared" si="11"/>
        <v>0</v>
      </c>
      <c r="R38" s="14" t="str">
        <f t="shared" si="11"/>
        <v>0</v>
      </c>
      <c r="S38" s="14">
        <f t="shared" si="11"/>
        <v>206.30288978494625</v>
      </c>
      <c r="T38" s="14">
        <f t="shared" si="11"/>
        <v>202.85752688172042</v>
      </c>
      <c r="U38" s="14">
        <f t="shared" si="12"/>
        <v>409.16041666666666</v>
      </c>
    </row>
    <row r="39" spans="1:21" x14ac:dyDescent="0.25">
      <c r="A39" s="30" t="s">
        <v>20</v>
      </c>
      <c r="B39" s="11">
        <f t="shared" si="0"/>
        <v>2.5474595454781247E-3</v>
      </c>
      <c r="C39" s="11" t="str">
        <f t="shared" si="6"/>
        <v>-</v>
      </c>
      <c r="D39" s="11">
        <f t="shared" si="7"/>
        <v>1.2974757816115476E-2</v>
      </c>
      <c r="E39" s="11" t="str">
        <f t="shared" si="8"/>
        <v>-</v>
      </c>
      <c r="F39" s="11">
        <f t="shared" si="9"/>
        <v>1.55222173615936E-2</v>
      </c>
      <c r="G39" s="11">
        <f t="shared" si="1"/>
        <v>2.5474595454781242E-3</v>
      </c>
      <c r="H39" s="11" t="str">
        <f t="shared" si="2"/>
        <v>-</v>
      </c>
      <c r="I39" s="11">
        <f t="shared" si="3"/>
        <v>1.2974757816115477E-2</v>
      </c>
      <c r="J39" s="11" t="str">
        <f t="shared" si="4"/>
        <v>-</v>
      </c>
      <c r="K39" s="11">
        <f t="shared" si="5"/>
        <v>1.5522217361593602E-2</v>
      </c>
      <c r="L39" s="13">
        <v>155920</v>
      </c>
      <c r="M39" s="13"/>
      <c r="N39" s="13">
        <v>794134</v>
      </c>
      <c r="O39" s="13"/>
      <c r="P39" s="13">
        <f t="shared" ref="P39:P48" si="15">L39+M39+N39+O39</f>
        <v>950054</v>
      </c>
      <c r="Q39" s="14">
        <f t="shared" si="11"/>
        <v>241.00537634408599</v>
      </c>
      <c r="R39" s="14" t="str">
        <f t="shared" si="11"/>
        <v>0</v>
      </c>
      <c r="S39" s="14">
        <f t="shared" si="11"/>
        <v>1227.4920698924732</v>
      </c>
      <c r="T39" s="14" t="str">
        <f t="shared" si="11"/>
        <v>0</v>
      </c>
      <c r="U39" s="14">
        <f t="shared" si="12"/>
        <v>1468.4974462365592</v>
      </c>
    </row>
    <row r="40" spans="1:21" x14ac:dyDescent="0.25">
      <c r="A40" s="30" t="s">
        <v>21</v>
      </c>
      <c r="B40" s="11">
        <f t="shared" si="0"/>
        <v>2.1885866721563178E-2</v>
      </c>
      <c r="C40" s="11">
        <f t="shared" si="6"/>
        <v>3.1051982993518207E-3</v>
      </c>
      <c r="D40" s="11">
        <f t="shared" si="7"/>
        <v>3.5962949756212927E-2</v>
      </c>
      <c r="E40" s="11">
        <f t="shared" si="8"/>
        <v>8.835299437188221E-3</v>
      </c>
      <c r="F40" s="11">
        <f t="shared" si="9"/>
        <v>6.9789314214316139E-2</v>
      </c>
      <c r="G40" s="11">
        <f t="shared" si="1"/>
        <v>2.1885866721563181E-2</v>
      </c>
      <c r="H40" s="11">
        <f t="shared" si="2"/>
        <v>3.1051982993518207E-3</v>
      </c>
      <c r="I40" s="11">
        <f t="shared" si="3"/>
        <v>3.596294975621292E-2</v>
      </c>
      <c r="J40" s="11">
        <f t="shared" si="4"/>
        <v>8.835299437188221E-3</v>
      </c>
      <c r="K40" s="11">
        <f t="shared" si="5"/>
        <v>6.9789314214316139E-2</v>
      </c>
      <c r="L40" s="13">
        <v>1339548</v>
      </c>
      <c r="M40" s="13">
        <v>190057</v>
      </c>
      <c r="N40" s="13">
        <v>2201151</v>
      </c>
      <c r="O40" s="13">
        <v>540774</v>
      </c>
      <c r="P40" s="13">
        <f t="shared" si="15"/>
        <v>4271530</v>
      </c>
      <c r="Q40" s="14">
        <f t="shared" si="11"/>
        <v>2070.5379032258065</v>
      </c>
      <c r="R40" s="14">
        <f t="shared" si="11"/>
        <v>293.77090053763436</v>
      </c>
      <c r="S40" s="14">
        <f t="shared" si="11"/>
        <v>3402.3167338709673</v>
      </c>
      <c r="T40" s="14">
        <f t="shared" si="11"/>
        <v>835.87379032258059</v>
      </c>
      <c r="U40" s="14">
        <f t="shared" si="12"/>
        <v>6602.4993279569881</v>
      </c>
    </row>
    <row r="41" spans="1:21" x14ac:dyDescent="0.25">
      <c r="A41" s="30" t="s">
        <v>22</v>
      </c>
      <c r="B41" s="11" t="str">
        <f t="shared" si="0"/>
        <v>-</v>
      </c>
      <c r="C41" s="11" t="str">
        <f t="shared" si="6"/>
        <v>-</v>
      </c>
      <c r="D41" s="11">
        <f t="shared" si="7"/>
        <v>1.4191418090442819E-2</v>
      </c>
      <c r="E41" s="11">
        <f t="shared" si="8"/>
        <v>1.543650691536747E-2</v>
      </c>
      <c r="F41" s="11">
        <f t="shared" si="9"/>
        <v>2.9627925005810289E-2</v>
      </c>
      <c r="G41" s="11" t="str">
        <f t="shared" si="1"/>
        <v>-</v>
      </c>
      <c r="H41" s="11" t="str">
        <f t="shared" si="2"/>
        <v>-</v>
      </c>
      <c r="I41" s="11">
        <f t="shared" si="3"/>
        <v>1.4191418090442819E-2</v>
      </c>
      <c r="J41" s="11">
        <f t="shared" si="4"/>
        <v>1.5436506915367472E-2</v>
      </c>
      <c r="K41" s="11">
        <f t="shared" si="5"/>
        <v>2.9627925005810293E-2</v>
      </c>
      <c r="L41" s="13"/>
      <c r="M41" s="13"/>
      <c r="N41" s="1">
        <v>868601</v>
      </c>
      <c r="O41" s="1">
        <v>944808</v>
      </c>
      <c r="P41" s="13">
        <f t="shared" si="15"/>
        <v>1813409</v>
      </c>
      <c r="Q41" s="14" t="str">
        <f t="shared" si="11"/>
        <v>0</v>
      </c>
      <c r="R41" s="14" t="str">
        <f t="shared" si="11"/>
        <v>0</v>
      </c>
      <c r="S41" s="14">
        <f t="shared" si="11"/>
        <v>1342.59563172043</v>
      </c>
      <c r="T41" s="14">
        <f t="shared" si="11"/>
        <v>1460.3887096774195</v>
      </c>
      <c r="U41" s="14">
        <f t="shared" si="12"/>
        <v>2802.9843413978497</v>
      </c>
    </row>
    <row r="42" spans="1:21" x14ac:dyDescent="0.25">
      <c r="A42" s="30" t="s">
        <v>53</v>
      </c>
      <c r="B42" s="11" t="str">
        <f t="shared" si="0"/>
        <v>-</v>
      </c>
      <c r="C42" s="11" t="str">
        <f t="shared" si="6"/>
        <v>-</v>
      </c>
      <c r="D42" s="11">
        <f t="shared" si="7"/>
        <v>4.7393988260152281E-3</v>
      </c>
      <c r="E42" s="11">
        <f t="shared" si="8"/>
        <v>5.8305976980226231E-3</v>
      </c>
      <c r="F42" s="11">
        <f t="shared" si="9"/>
        <v>1.0569996524037851E-2</v>
      </c>
      <c r="G42" s="11" t="str">
        <f t="shared" si="1"/>
        <v>-</v>
      </c>
      <c r="H42" s="11" t="str">
        <f t="shared" si="2"/>
        <v>-</v>
      </c>
      <c r="I42" s="11">
        <f t="shared" si="3"/>
        <v>4.7393988260152281E-3</v>
      </c>
      <c r="J42" s="11">
        <f t="shared" si="4"/>
        <v>5.8305976980226231E-3</v>
      </c>
      <c r="K42" s="11">
        <f t="shared" si="5"/>
        <v>1.0569996524037851E-2</v>
      </c>
      <c r="L42" s="13"/>
      <c r="M42" s="13"/>
      <c r="N42" s="13">
        <v>290080</v>
      </c>
      <c r="O42" s="13">
        <v>356868</v>
      </c>
      <c r="P42" s="13">
        <f t="shared" si="15"/>
        <v>646948</v>
      </c>
      <c r="Q42" s="14" t="str">
        <f t="shared" si="11"/>
        <v>0</v>
      </c>
      <c r="R42" s="14" t="str">
        <f t="shared" si="11"/>
        <v>0</v>
      </c>
      <c r="S42" s="14">
        <f t="shared" si="11"/>
        <v>448.37634408602145</v>
      </c>
      <c r="T42" s="14">
        <f t="shared" si="11"/>
        <v>551.61048387096776</v>
      </c>
      <c r="U42" s="14">
        <f t="shared" si="12"/>
        <v>999.98682795698915</v>
      </c>
    </row>
    <row r="43" spans="1:21" x14ac:dyDescent="0.25">
      <c r="A43" s="30" t="s">
        <v>23</v>
      </c>
      <c r="B43" s="11" t="str">
        <f t="shared" si="0"/>
        <v>-</v>
      </c>
      <c r="C43" s="11" t="str">
        <f t="shared" si="6"/>
        <v>-</v>
      </c>
      <c r="D43" s="11">
        <f t="shared" si="7"/>
        <v>3.5225261544707774E-4</v>
      </c>
      <c r="E43" s="11">
        <f t="shared" si="8"/>
        <v>1.2679296948873132E-3</v>
      </c>
      <c r="F43" s="11">
        <f t="shared" si="9"/>
        <v>1.6201823103343907E-3</v>
      </c>
      <c r="G43" s="11" t="str">
        <f t="shared" si="1"/>
        <v>-</v>
      </c>
      <c r="H43" s="11" t="str">
        <f t="shared" si="2"/>
        <v>-</v>
      </c>
      <c r="I43" s="11">
        <f t="shared" si="3"/>
        <v>3.5225261544707774E-4</v>
      </c>
      <c r="J43" s="11">
        <f t="shared" si="4"/>
        <v>1.2679296948873132E-3</v>
      </c>
      <c r="K43" s="11">
        <f t="shared" si="5"/>
        <v>1.620182310334391E-3</v>
      </c>
      <c r="L43" s="13"/>
      <c r="M43" s="13"/>
      <c r="N43" s="13">
        <f>13200+8360</f>
        <v>21560</v>
      </c>
      <c r="O43" s="13">
        <v>77605</v>
      </c>
      <c r="P43" s="13">
        <f t="shared" si="15"/>
        <v>99165</v>
      </c>
      <c r="Q43" s="14" t="str">
        <f t="shared" si="11"/>
        <v>0</v>
      </c>
      <c r="R43" s="14" t="str">
        <f t="shared" si="11"/>
        <v>0</v>
      </c>
      <c r="S43" s="14">
        <f t="shared" si="11"/>
        <v>33.325268817204297</v>
      </c>
      <c r="T43" s="14">
        <f t="shared" si="11"/>
        <v>119.95396505376344</v>
      </c>
      <c r="U43" s="14">
        <f t="shared" si="12"/>
        <v>153.27923387096774</v>
      </c>
    </row>
    <row r="44" spans="1:21" x14ac:dyDescent="0.25">
      <c r="A44" s="30" t="s">
        <v>24</v>
      </c>
      <c r="B44" s="11">
        <f t="shared" si="0"/>
        <v>5.7289247840185799E-3</v>
      </c>
      <c r="C44" s="11" t="str">
        <f t="shared" si="6"/>
        <v>-</v>
      </c>
      <c r="D44" s="11">
        <f t="shared" si="7"/>
        <v>1.3424141312770015E-2</v>
      </c>
      <c r="E44" s="11">
        <f t="shared" si="8"/>
        <v>3.7576335355599916E-3</v>
      </c>
      <c r="F44" s="11">
        <f t="shared" si="9"/>
        <v>2.2910699632348586E-2</v>
      </c>
      <c r="G44" s="11">
        <f t="shared" si="1"/>
        <v>5.7289247840185799E-3</v>
      </c>
      <c r="H44" s="11" t="str">
        <f t="shared" si="2"/>
        <v>-</v>
      </c>
      <c r="I44" s="11">
        <f t="shared" si="3"/>
        <v>1.3424141312770017E-2</v>
      </c>
      <c r="J44" s="11">
        <f t="shared" si="4"/>
        <v>3.7576335355599911E-3</v>
      </c>
      <c r="K44" s="11">
        <f t="shared" si="5"/>
        <v>2.2910699632348586E-2</v>
      </c>
      <c r="L44" s="13">
        <v>350645</v>
      </c>
      <c r="M44" s="13"/>
      <c r="N44" s="13">
        <v>821639</v>
      </c>
      <c r="O44" s="13">
        <v>229990</v>
      </c>
      <c r="P44" s="13">
        <f t="shared" si="15"/>
        <v>1402274</v>
      </c>
      <c r="Q44" s="14">
        <f t="shared" si="11"/>
        <v>541.99159946236557</v>
      </c>
      <c r="R44" s="14" t="str">
        <f t="shared" si="11"/>
        <v>0</v>
      </c>
      <c r="S44" s="14">
        <f t="shared" si="11"/>
        <v>1270.0065188172043</v>
      </c>
      <c r="T44" s="14">
        <f t="shared" si="11"/>
        <v>355.49529569892468</v>
      </c>
      <c r="U44" s="14">
        <f t="shared" si="12"/>
        <v>2167.4934139784946</v>
      </c>
    </row>
    <row r="45" spans="1:21" x14ac:dyDescent="0.25">
      <c r="A45" s="30" t="s">
        <v>56</v>
      </c>
      <c r="B45" s="11">
        <f t="shared" si="0"/>
        <v>4.0168561699145061E-3</v>
      </c>
      <c r="C45" s="11" t="str">
        <f t="shared" si="6"/>
        <v>-</v>
      </c>
      <c r="D45" s="11">
        <f t="shared" si="7"/>
        <v>2.6348642679668643E-2</v>
      </c>
      <c r="E45" s="11">
        <f t="shared" si="8"/>
        <v>1.1756022584359478E-3</v>
      </c>
      <c r="F45" s="11">
        <f t="shared" si="9"/>
        <v>3.1541101108019096E-2</v>
      </c>
      <c r="G45" s="11">
        <f t="shared" si="1"/>
        <v>4.0168561699145061E-3</v>
      </c>
      <c r="H45" s="11" t="str">
        <f t="shared" si="2"/>
        <v>-</v>
      </c>
      <c r="I45" s="11">
        <f t="shared" si="3"/>
        <v>2.6348642679668643E-2</v>
      </c>
      <c r="J45" s="11">
        <f t="shared" si="4"/>
        <v>1.1756022584359478E-3</v>
      </c>
      <c r="K45" s="11">
        <f t="shared" si="5"/>
        <v>3.1541101108019103E-2</v>
      </c>
      <c r="L45" s="13">
        <v>245856</v>
      </c>
      <c r="M45" s="13"/>
      <c r="N45" s="13">
        <v>1612697</v>
      </c>
      <c r="O45" s="13">
        <v>71954</v>
      </c>
      <c r="P45" s="13">
        <f t="shared" si="15"/>
        <v>1930507</v>
      </c>
      <c r="Q45" s="14">
        <f t="shared" si="11"/>
        <v>380.01935483870966</v>
      </c>
      <c r="R45" s="14" t="str">
        <f t="shared" si="11"/>
        <v>0</v>
      </c>
      <c r="S45" s="14">
        <f t="shared" si="11"/>
        <v>2492.7440188172041</v>
      </c>
      <c r="T45" s="14">
        <f t="shared" si="11"/>
        <v>111.21922043010753</v>
      </c>
      <c r="U45" s="14">
        <f t="shared" si="12"/>
        <v>2983.9825940860214</v>
      </c>
    </row>
    <row r="46" spans="1:21" x14ac:dyDescent="0.25">
      <c r="A46" s="30" t="s">
        <v>25</v>
      </c>
      <c r="B46" s="11" t="str">
        <f t="shared" si="0"/>
        <v>-</v>
      </c>
      <c r="C46" s="11" t="str">
        <f t="shared" si="6"/>
        <v>-</v>
      </c>
      <c r="D46" s="11">
        <f t="shared" si="7"/>
        <v>7.5981019857914427E-3</v>
      </c>
      <c r="E46" s="11">
        <f t="shared" si="8"/>
        <v>9.2383313257711763E-3</v>
      </c>
      <c r="F46" s="11">
        <f t="shared" si="9"/>
        <v>1.6836433311562617E-2</v>
      </c>
      <c r="G46" s="11" t="str">
        <f t="shared" si="1"/>
        <v>-</v>
      </c>
      <c r="H46" s="11" t="str">
        <f t="shared" si="2"/>
        <v>-</v>
      </c>
      <c r="I46" s="11">
        <f t="shared" si="3"/>
        <v>7.5981019857914436E-3</v>
      </c>
      <c r="J46" s="11">
        <f t="shared" si="4"/>
        <v>9.2383313257711763E-3</v>
      </c>
      <c r="K46" s="11">
        <f t="shared" si="5"/>
        <v>1.6836433311562617E-2</v>
      </c>
      <c r="L46" s="13"/>
      <c r="M46" s="13"/>
      <c r="N46" s="13">
        <v>465050</v>
      </c>
      <c r="O46" s="13">
        <v>565442</v>
      </c>
      <c r="P46" s="13">
        <f t="shared" ref="P46" si="16">SUM(L46:O46)</f>
        <v>1030492</v>
      </c>
      <c r="Q46" s="14" t="str">
        <f t="shared" si="11"/>
        <v>0</v>
      </c>
      <c r="R46" s="14" t="str">
        <f t="shared" si="11"/>
        <v>0</v>
      </c>
      <c r="S46" s="14">
        <f t="shared" si="11"/>
        <v>718.82728494623655</v>
      </c>
      <c r="T46" s="14">
        <f t="shared" si="11"/>
        <v>874.0030913978494</v>
      </c>
      <c r="U46" s="14">
        <f t="shared" si="12"/>
        <v>1592.8303763440858</v>
      </c>
    </row>
    <row r="47" spans="1:21" x14ac:dyDescent="0.25">
      <c r="A47" s="30" t="s">
        <v>31</v>
      </c>
      <c r="B47" s="11">
        <f t="shared" si="0"/>
        <v>1.1067937292172387E-2</v>
      </c>
      <c r="C47" s="11" t="str">
        <f t="shared" si="6"/>
        <v>-</v>
      </c>
      <c r="D47" s="11">
        <f t="shared" si="7"/>
        <v>1.2870846562208082E-2</v>
      </c>
      <c r="E47" s="11">
        <f t="shared" si="8"/>
        <v>1.2407150760770071E-2</v>
      </c>
      <c r="F47" s="11">
        <f t="shared" si="9"/>
        <v>3.6345934615150538E-2</v>
      </c>
      <c r="G47" s="11">
        <f t="shared" si="1"/>
        <v>1.1067937292172387E-2</v>
      </c>
      <c r="H47" s="11" t="str">
        <f t="shared" si="2"/>
        <v>-</v>
      </c>
      <c r="I47" s="11">
        <f t="shared" si="3"/>
        <v>1.2870846562208082E-2</v>
      </c>
      <c r="J47" s="11">
        <f t="shared" si="4"/>
        <v>1.2407150760770071E-2</v>
      </c>
      <c r="K47" s="11">
        <f t="shared" si="5"/>
        <v>3.6345934615150538E-2</v>
      </c>
      <c r="L47" s="13">
        <f>155575+521850</f>
        <v>677425</v>
      </c>
      <c r="M47" s="13"/>
      <c r="N47" s="13">
        <v>787774</v>
      </c>
      <c r="O47" s="13">
        <v>759393</v>
      </c>
      <c r="P47" s="13">
        <f t="shared" si="15"/>
        <v>2224592</v>
      </c>
      <c r="Q47" s="14">
        <f t="shared" si="11"/>
        <v>1047.0950940860214</v>
      </c>
      <c r="R47" s="14" t="str">
        <f t="shared" si="11"/>
        <v>0</v>
      </c>
      <c r="S47" s="14">
        <f t="shared" si="11"/>
        <v>1217.6614247311827</v>
      </c>
      <c r="T47" s="14">
        <f t="shared" si="11"/>
        <v>1173.792943548387</v>
      </c>
      <c r="U47" s="14">
        <f t="shared" si="12"/>
        <v>3438.5494623655909</v>
      </c>
    </row>
    <row r="48" spans="1:21" x14ac:dyDescent="0.25">
      <c r="A48" s="30" t="s">
        <v>26</v>
      </c>
      <c r="B48" s="11" t="str">
        <f t="shared" si="0"/>
        <v>-</v>
      </c>
      <c r="C48" s="11" t="str">
        <f t="shared" si="6"/>
        <v>-</v>
      </c>
      <c r="D48" s="11">
        <f t="shared" si="7"/>
        <v>1.7464099764606701E-2</v>
      </c>
      <c r="E48" s="11">
        <f t="shared" si="8"/>
        <v>9.0149711446126882E-3</v>
      </c>
      <c r="F48" s="11">
        <f t="shared" si="9"/>
        <v>2.6479070909219388E-2</v>
      </c>
      <c r="G48" s="11" t="str">
        <f t="shared" si="1"/>
        <v>-</v>
      </c>
      <c r="H48" s="11" t="str">
        <f t="shared" si="2"/>
        <v>-</v>
      </c>
      <c r="I48" s="11">
        <f t="shared" si="3"/>
        <v>1.7464099764606701E-2</v>
      </c>
      <c r="J48" s="11">
        <f t="shared" si="4"/>
        <v>9.0149711446126882E-3</v>
      </c>
      <c r="K48" s="11">
        <f t="shared" si="5"/>
        <v>2.6479070909219388E-2</v>
      </c>
      <c r="L48" s="13"/>
      <c r="M48" s="13"/>
      <c r="N48" s="13">
        <v>1068909</v>
      </c>
      <c r="O48" s="13">
        <v>551771</v>
      </c>
      <c r="P48" s="13">
        <f t="shared" si="15"/>
        <v>1620680</v>
      </c>
      <c r="Q48" s="14" t="str">
        <f t="shared" si="11"/>
        <v>0</v>
      </c>
      <c r="R48" s="14" t="str">
        <f t="shared" si="11"/>
        <v>0</v>
      </c>
      <c r="S48" s="14">
        <f t="shared" si="11"/>
        <v>1652.2114919354838</v>
      </c>
      <c r="T48" s="14">
        <f t="shared" si="11"/>
        <v>852.87184139784938</v>
      </c>
      <c r="U48" s="14">
        <f t="shared" si="12"/>
        <v>2505.083333333333</v>
      </c>
    </row>
    <row r="49" spans="1:257" x14ac:dyDescent="0.25">
      <c r="A49" s="30" t="s">
        <v>55</v>
      </c>
      <c r="B49" s="11" t="str">
        <f t="shared" si="0"/>
        <v>-</v>
      </c>
      <c r="C49" s="11" t="str">
        <f t="shared" si="6"/>
        <v>-</v>
      </c>
      <c r="D49" s="11">
        <f t="shared" si="7"/>
        <v>1.1190065692008515E-3</v>
      </c>
      <c r="E49" s="11">
        <f t="shared" si="8"/>
        <v>7.2532015817057375E-4</v>
      </c>
      <c r="F49" s="11">
        <f t="shared" si="9"/>
        <v>1.8443267273714251E-3</v>
      </c>
      <c r="G49" s="11" t="str">
        <f t="shared" si="1"/>
        <v>-</v>
      </c>
      <c r="H49" s="11" t="str">
        <f t="shared" si="2"/>
        <v>-</v>
      </c>
      <c r="I49" s="11">
        <f t="shared" si="3"/>
        <v>1.1190065692008515E-3</v>
      </c>
      <c r="J49" s="11">
        <f t="shared" si="4"/>
        <v>7.2532015817057375E-4</v>
      </c>
      <c r="K49" s="11">
        <f t="shared" si="5"/>
        <v>1.8443267273714251E-3</v>
      </c>
      <c r="L49" s="13"/>
      <c r="M49" s="13"/>
      <c r="N49" s="13">
        <v>68490</v>
      </c>
      <c r="O49" s="13">
        <v>44394</v>
      </c>
      <c r="P49" s="13">
        <f t="shared" ref="P49" si="17">SUM(L49:O49)</f>
        <v>112884</v>
      </c>
      <c r="Q49" s="14" t="str">
        <f t="shared" si="11"/>
        <v>0</v>
      </c>
      <c r="R49" s="14" t="str">
        <f t="shared" si="11"/>
        <v>0</v>
      </c>
      <c r="S49" s="14">
        <f t="shared" si="11"/>
        <v>105.8649193548387</v>
      </c>
      <c r="T49" s="14">
        <f t="shared" si="11"/>
        <v>68.61975806451612</v>
      </c>
      <c r="U49" s="14">
        <f t="shared" si="12"/>
        <v>174.48467741935482</v>
      </c>
    </row>
    <row r="50" spans="1:257" x14ac:dyDescent="0.25">
      <c r="A50" s="30" t="s">
        <v>27</v>
      </c>
      <c r="B50" s="11" t="str">
        <f t="shared" si="0"/>
        <v>-</v>
      </c>
      <c r="C50" s="11" t="str">
        <f t="shared" si="6"/>
        <v>-</v>
      </c>
      <c r="D50" s="11">
        <f t="shared" si="7"/>
        <v>8.3091425156734853E-4</v>
      </c>
      <c r="E50" s="11">
        <f t="shared" si="8"/>
        <v>3.8323320029915332E-3</v>
      </c>
      <c r="F50" s="11">
        <f t="shared" si="9"/>
        <v>4.663246254558882E-3</v>
      </c>
      <c r="G50" s="11" t="str">
        <f t="shared" si="1"/>
        <v>-</v>
      </c>
      <c r="H50" s="11" t="str">
        <f t="shared" si="2"/>
        <v>-</v>
      </c>
      <c r="I50" s="11">
        <f t="shared" si="3"/>
        <v>8.3091425156734853E-4</v>
      </c>
      <c r="J50" s="11">
        <f t="shared" si="4"/>
        <v>3.8323320029915327E-3</v>
      </c>
      <c r="K50" s="11">
        <f t="shared" si="5"/>
        <v>4.6632462545588812E-3</v>
      </c>
      <c r="L50" s="13"/>
      <c r="M50" s="13"/>
      <c r="N50" s="13">
        <v>50857</v>
      </c>
      <c r="O50" s="13">
        <v>234562</v>
      </c>
      <c r="P50" s="13">
        <f>SUM(L50:O50)</f>
        <v>285419</v>
      </c>
      <c r="Q50" s="14" t="str">
        <f t="shared" si="11"/>
        <v>0</v>
      </c>
      <c r="R50" s="14" t="str">
        <f t="shared" si="11"/>
        <v>0</v>
      </c>
      <c r="S50" s="14">
        <f t="shared" si="11"/>
        <v>78.609610215053763</v>
      </c>
      <c r="T50" s="14">
        <f t="shared" si="11"/>
        <v>362.56223118279564</v>
      </c>
      <c r="U50" s="14">
        <f t="shared" si="12"/>
        <v>441.17184139784939</v>
      </c>
    </row>
    <row r="51" spans="1:257" x14ac:dyDescent="0.25">
      <c r="A51" s="30" t="s">
        <v>32</v>
      </c>
      <c r="B51" s="11" t="str">
        <f t="shared" si="0"/>
        <v>-</v>
      </c>
      <c r="C51" s="11" t="str">
        <f t="shared" si="6"/>
        <v>-</v>
      </c>
      <c r="D51" s="11">
        <f t="shared" si="7"/>
        <v>2.232588840241757E-3</v>
      </c>
      <c r="E51" s="11">
        <f t="shared" si="8"/>
        <v>1.1788699079298909E-3</v>
      </c>
      <c r="F51" s="11">
        <f t="shared" si="9"/>
        <v>3.4114587481716479E-3</v>
      </c>
      <c r="G51" s="11" t="str">
        <f t="shared" si="1"/>
        <v>-</v>
      </c>
      <c r="H51" s="11" t="str">
        <f t="shared" si="2"/>
        <v>-</v>
      </c>
      <c r="I51" s="11">
        <f t="shared" si="3"/>
        <v>2.232588840241757E-3</v>
      </c>
      <c r="J51" s="11">
        <f t="shared" si="4"/>
        <v>1.1788699079298909E-3</v>
      </c>
      <c r="K51" s="11">
        <f t="shared" si="5"/>
        <v>3.4114587481716479E-3</v>
      </c>
      <c r="L51" s="13"/>
      <c r="M51" s="13"/>
      <c r="N51" s="13">
        <v>136648</v>
      </c>
      <c r="O51" s="13">
        <v>72154</v>
      </c>
      <c r="P51" s="13">
        <f>SUM(L51:O51)</f>
        <v>208802</v>
      </c>
      <c r="Q51" s="14" t="str">
        <f t="shared" si="11"/>
        <v>0</v>
      </c>
      <c r="R51" s="14" t="str">
        <f t="shared" si="11"/>
        <v>0</v>
      </c>
      <c r="S51" s="14">
        <f t="shared" si="11"/>
        <v>211.21666666666664</v>
      </c>
      <c r="T51" s="14">
        <f t="shared" si="11"/>
        <v>111.52836021505375</v>
      </c>
      <c r="U51" s="14">
        <f t="shared" si="12"/>
        <v>322.74502688172038</v>
      </c>
    </row>
    <row r="52" spans="1:257" x14ac:dyDescent="0.25">
      <c r="A52" s="30" t="s">
        <v>28</v>
      </c>
      <c r="B52" s="11" t="str">
        <f t="shared" si="0"/>
        <v>-</v>
      </c>
      <c r="C52" s="11" t="str">
        <f t="shared" si="6"/>
        <v>-</v>
      </c>
      <c r="D52" s="11">
        <f t="shared" si="7"/>
        <v>1.8108267847595193E-2</v>
      </c>
      <c r="E52" s="11">
        <f t="shared" si="8"/>
        <v>9.0157390422437641E-3</v>
      </c>
      <c r="F52" s="11">
        <f t="shared" si="9"/>
        <v>2.7124006889838959E-2</v>
      </c>
      <c r="G52" s="11" t="str">
        <f t="shared" si="1"/>
        <v>-</v>
      </c>
      <c r="H52" s="11" t="str">
        <f t="shared" si="2"/>
        <v>-</v>
      </c>
      <c r="I52" s="11">
        <f t="shared" si="3"/>
        <v>1.8108267847595193E-2</v>
      </c>
      <c r="J52" s="11">
        <f t="shared" si="4"/>
        <v>9.0157390422437641E-3</v>
      </c>
      <c r="K52" s="11">
        <f t="shared" si="5"/>
        <v>2.7124006889838955E-2</v>
      </c>
      <c r="L52" s="13"/>
      <c r="M52" s="13"/>
      <c r="N52" s="13">
        <f>364287+166222+314487+163980+99360</f>
        <v>1108336</v>
      </c>
      <c r="O52" s="13">
        <v>551818</v>
      </c>
      <c r="P52" s="13">
        <f>SUM(L52:O52)</f>
        <v>1660154</v>
      </c>
      <c r="Q52" s="14" t="str">
        <f t="shared" si="11"/>
        <v>0</v>
      </c>
      <c r="R52" s="14" t="str">
        <f t="shared" si="11"/>
        <v>0</v>
      </c>
      <c r="S52" s="14">
        <f t="shared" si="11"/>
        <v>1713.1537634408601</v>
      </c>
      <c r="T52" s="14">
        <f t="shared" si="11"/>
        <v>852.94448924731182</v>
      </c>
      <c r="U52" s="14">
        <f t="shared" si="12"/>
        <v>2566.0982526881717</v>
      </c>
    </row>
    <row r="53" spans="1:257" x14ac:dyDescent="0.25">
      <c r="A53" s="32" t="s">
        <v>0</v>
      </c>
      <c r="B53" s="11">
        <f t="shared" ref="B53:O53" si="18">SUM(B8:B52)</f>
        <v>0.14621060082679702</v>
      </c>
      <c r="C53" s="11">
        <f t="shared" si="18"/>
        <v>1.49912406570753E-2</v>
      </c>
      <c r="D53" s="11">
        <f t="shared" si="18"/>
        <v>0.55529830984914508</v>
      </c>
      <c r="E53" s="11">
        <f t="shared" si="18"/>
        <v>0.28349984866698291</v>
      </c>
      <c r="F53" s="11">
        <f t="shared" si="18"/>
        <v>1</v>
      </c>
      <c r="G53" s="11">
        <f t="shared" si="18"/>
        <v>0.14621060082679702</v>
      </c>
      <c r="H53" s="11">
        <f t="shared" si="18"/>
        <v>1.4991240657075298E-2</v>
      </c>
      <c r="I53" s="11">
        <f t="shared" si="18"/>
        <v>0.55529830984914497</v>
      </c>
      <c r="J53" s="11">
        <f t="shared" si="18"/>
        <v>0.28349984866698286</v>
      </c>
      <c r="K53" s="11">
        <f t="shared" si="18"/>
        <v>1</v>
      </c>
      <c r="L53" s="13">
        <f>SUM(L8:L52)</f>
        <v>8948977</v>
      </c>
      <c r="M53" s="13">
        <f t="shared" si="18"/>
        <v>917555</v>
      </c>
      <c r="N53" s="13">
        <f t="shared" si="18"/>
        <v>33987630</v>
      </c>
      <c r="O53" s="13">
        <f t="shared" si="18"/>
        <v>17351913</v>
      </c>
      <c r="P53" s="13">
        <f>SUM(L53:O53)</f>
        <v>61206075</v>
      </c>
      <c r="Q53" s="14">
        <f>SUM(Q8:Q52)</f>
        <v>13832.424126344084</v>
      </c>
      <c r="R53" s="14">
        <f>SUM(R8:R52)</f>
        <v>1418.2637768817203</v>
      </c>
      <c r="S53" s="14">
        <f>SUM(S8:S52)</f>
        <v>52534.643145161288</v>
      </c>
      <c r="T53" s="14">
        <f>SUM(T8:T52)</f>
        <v>26820.833266129026</v>
      </c>
      <c r="U53" s="14">
        <f>SUM(Q53:T53)</f>
        <v>94606.164314516122</v>
      </c>
    </row>
    <row r="54" spans="1:257" x14ac:dyDescent="0.25">
      <c r="A54" s="3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1"/>
      <c r="M54" s="41"/>
      <c r="N54" s="41"/>
      <c r="O54" s="41"/>
      <c r="P54" s="41"/>
      <c r="Q54" s="42"/>
      <c r="R54" s="42"/>
      <c r="S54" s="42"/>
      <c r="T54" s="42"/>
      <c r="U54" s="42"/>
    </row>
    <row r="56" spans="1:257" x14ac:dyDescent="0.25">
      <c r="A56" s="26" t="s">
        <v>46</v>
      </c>
      <c r="B56" s="6" t="s">
        <v>78</v>
      </c>
      <c r="Q56" s="6"/>
      <c r="R56" s="6"/>
      <c r="S56" s="6"/>
      <c r="T56" s="6"/>
      <c r="U56" s="6"/>
    </row>
    <row r="57" spans="1:257" x14ac:dyDescent="0.25">
      <c r="A57" s="26"/>
      <c r="B57" s="6" t="s">
        <v>79</v>
      </c>
      <c r="Q57" s="6"/>
      <c r="R57" s="6"/>
      <c r="S57" s="6"/>
      <c r="T57" s="6"/>
      <c r="U57" s="6"/>
    </row>
    <row r="58" spans="1:257" x14ac:dyDescent="0.25">
      <c r="B58" s="6" t="s">
        <v>102</v>
      </c>
      <c r="Q58" s="6"/>
      <c r="R58" s="6"/>
      <c r="S58" s="6"/>
      <c r="T58" s="6"/>
      <c r="U58" s="6"/>
    </row>
    <row r="59" spans="1:257" x14ac:dyDescent="0.25">
      <c r="B59" s="6" t="s">
        <v>98</v>
      </c>
      <c r="Q59" s="6"/>
      <c r="R59" s="6"/>
      <c r="S59" s="6"/>
      <c r="T59" s="6"/>
      <c r="U59" s="6"/>
    </row>
    <row r="60" spans="1:257" x14ac:dyDescent="0.25">
      <c r="Q60" s="6"/>
      <c r="R60" s="6"/>
      <c r="S60" s="6"/>
      <c r="T60" s="6"/>
      <c r="U60" s="6"/>
    </row>
    <row r="63" spans="1:257" x14ac:dyDescent="0.25">
      <c r="Q63" s="6"/>
      <c r="R63" s="6"/>
      <c r="S63" s="6"/>
      <c r="T63" s="6"/>
      <c r="U63" s="6"/>
    </row>
    <row r="64" spans="1:257" ht="15.75" x14ac:dyDescent="0.25">
      <c r="A64" s="34" t="s">
        <v>76</v>
      </c>
      <c r="B64" s="35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6"/>
      <c r="CM64" s="36"/>
      <c r="CN64" s="36"/>
      <c r="CO64" s="36"/>
      <c r="CP64" s="36"/>
      <c r="CQ64" s="36"/>
      <c r="CR64" s="36"/>
      <c r="CS64" s="36"/>
      <c r="CT64" s="36"/>
      <c r="CU64" s="36"/>
      <c r="CV64" s="36"/>
      <c r="CW64" s="36"/>
      <c r="CX64" s="36"/>
      <c r="CY64" s="36"/>
      <c r="CZ64" s="36"/>
      <c r="DA64" s="36"/>
      <c r="DB64" s="36"/>
      <c r="DC64" s="36"/>
      <c r="DD64" s="36"/>
      <c r="DE64" s="36"/>
      <c r="DF64" s="36"/>
      <c r="DG64" s="36"/>
      <c r="DH64" s="36"/>
      <c r="DI64" s="36"/>
      <c r="DJ64" s="36"/>
      <c r="DK64" s="36"/>
      <c r="DL64" s="36"/>
      <c r="DM64" s="36"/>
      <c r="DN64" s="36"/>
      <c r="DO64" s="36"/>
      <c r="DP64" s="36"/>
      <c r="DQ64" s="36"/>
      <c r="DR64" s="36"/>
      <c r="DS64" s="36"/>
      <c r="DT64" s="36"/>
      <c r="DU64" s="36"/>
      <c r="DV64" s="36"/>
      <c r="DW64" s="36"/>
      <c r="DX64" s="36"/>
      <c r="DY64" s="36"/>
      <c r="DZ64" s="36"/>
      <c r="EA64" s="36"/>
      <c r="EB64" s="36"/>
      <c r="EC64" s="36"/>
      <c r="ED64" s="36"/>
      <c r="EE64" s="36"/>
      <c r="EF64" s="36"/>
      <c r="EG64" s="36"/>
      <c r="EH64" s="36"/>
      <c r="EI64" s="36"/>
      <c r="EJ64" s="36"/>
      <c r="EK64" s="36"/>
      <c r="EL64" s="36"/>
      <c r="EM64" s="36"/>
      <c r="EN64" s="36"/>
      <c r="EO64" s="36"/>
      <c r="EP64" s="36"/>
      <c r="EQ64" s="36"/>
      <c r="ER64" s="36"/>
      <c r="ES64" s="36"/>
      <c r="ET64" s="36"/>
      <c r="EU64" s="36"/>
      <c r="EV64" s="36"/>
      <c r="EW64" s="36"/>
      <c r="EX64" s="36"/>
      <c r="EY64" s="36"/>
      <c r="EZ64" s="36"/>
      <c r="FA64" s="36"/>
      <c r="FB64" s="36"/>
      <c r="FC64" s="36"/>
      <c r="FD64" s="36"/>
      <c r="FE64" s="36"/>
      <c r="FF64" s="36"/>
      <c r="FG64" s="36"/>
      <c r="FH64" s="36"/>
      <c r="FI64" s="36"/>
      <c r="FJ64" s="36"/>
      <c r="FK64" s="36"/>
      <c r="FL64" s="36"/>
      <c r="FM64" s="36"/>
      <c r="FN64" s="36"/>
      <c r="FO64" s="36"/>
      <c r="FP64" s="36"/>
      <c r="FQ64" s="36"/>
      <c r="FR64" s="36"/>
      <c r="FS64" s="36"/>
      <c r="FT64" s="36"/>
      <c r="FU64" s="36"/>
      <c r="FV64" s="36"/>
      <c r="FW64" s="36"/>
      <c r="FX64" s="36"/>
      <c r="FY64" s="36"/>
      <c r="FZ64" s="36"/>
      <c r="GA64" s="36"/>
      <c r="GB64" s="36"/>
      <c r="GC64" s="36"/>
      <c r="GD64" s="36"/>
      <c r="GE64" s="36"/>
      <c r="GF64" s="36"/>
      <c r="GG64" s="36"/>
      <c r="GH64" s="36"/>
      <c r="GI64" s="36"/>
      <c r="GJ64" s="36"/>
      <c r="GK64" s="36"/>
      <c r="GL64" s="36"/>
      <c r="GM64" s="36"/>
      <c r="GN64" s="36"/>
      <c r="GO64" s="36"/>
      <c r="GP64" s="36"/>
      <c r="GQ64" s="36"/>
      <c r="GR64" s="36"/>
      <c r="GS64" s="36"/>
      <c r="GT64" s="36"/>
      <c r="GU64" s="36"/>
      <c r="GV64" s="36"/>
      <c r="GW64" s="36"/>
      <c r="GX64" s="36"/>
      <c r="GY64" s="36"/>
      <c r="GZ64" s="36"/>
      <c r="HA64" s="36"/>
      <c r="HB64" s="36"/>
      <c r="HC64" s="36"/>
      <c r="HD64" s="36"/>
      <c r="HE64" s="36"/>
      <c r="HF64" s="36"/>
      <c r="HG64" s="36"/>
      <c r="HH64" s="36"/>
      <c r="HI64" s="36"/>
      <c r="HJ64" s="36"/>
      <c r="HK64" s="36"/>
      <c r="HL64" s="36"/>
      <c r="HM64" s="36"/>
      <c r="HN64" s="36"/>
      <c r="HO64" s="36"/>
      <c r="HP64" s="36"/>
      <c r="HQ64" s="36"/>
      <c r="HR64" s="36"/>
      <c r="HS64" s="36"/>
      <c r="HT64" s="36"/>
      <c r="HU64" s="36"/>
      <c r="HV64" s="36"/>
      <c r="HW64" s="36"/>
      <c r="HX64" s="36"/>
      <c r="HY64" s="36"/>
      <c r="HZ64" s="36"/>
      <c r="IA64" s="36"/>
      <c r="IB64" s="36"/>
      <c r="IC64" s="36"/>
      <c r="ID64" s="36"/>
      <c r="IE64" s="36"/>
      <c r="IF64" s="36"/>
      <c r="IG64" s="36"/>
      <c r="IH64" s="36"/>
      <c r="II64" s="36"/>
      <c r="IJ64" s="36"/>
      <c r="IK64" s="36"/>
      <c r="IL64" s="36"/>
      <c r="IM64" s="36"/>
      <c r="IN64" s="36"/>
      <c r="IO64" s="36"/>
      <c r="IP64" s="36"/>
      <c r="IQ64" s="36"/>
      <c r="IR64" s="36"/>
      <c r="IS64" s="36"/>
      <c r="IT64" s="36"/>
      <c r="IU64" s="36"/>
      <c r="IV64" s="36"/>
      <c r="IW64" s="36"/>
    </row>
    <row r="65" spans="1:257" ht="15.75" x14ac:dyDescent="0.25">
      <c r="A65" s="34"/>
      <c r="B65" s="35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  <c r="DV65" s="36"/>
      <c r="DW65" s="36"/>
      <c r="DX65" s="36"/>
      <c r="DY65" s="36"/>
      <c r="DZ65" s="36"/>
      <c r="EA65" s="36"/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  <c r="FF65" s="36"/>
      <c r="FG65" s="36"/>
      <c r="FH65" s="36"/>
      <c r="FI65" s="36"/>
      <c r="FJ65" s="36"/>
      <c r="FK65" s="36"/>
      <c r="FL65" s="36"/>
      <c r="FM65" s="36"/>
      <c r="FN65" s="36"/>
      <c r="FO65" s="36"/>
      <c r="FP65" s="36"/>
      <c r="FQ65" s="36"/>
      <c r="FR65" s="36"/>
      <c r="FS65" s="36"/>
      <c r="FT65" s="36"/>
      <c r="FU65" s="36"/>
      <c r="FV65" s="36"/>
      <c r="FW65" s="36"/>
      <c r="FX65" s="36"/>
      <c r="FY65" s="36"/>
      <c r="FZ65" s="36"/>
      <c r="GA65" s="36"/>
      <c r="GB65" s="36"/>
      <c r="GC65" s="36"/>
      <c r="GD65" s="36"/>
      <c r="GE65" s="36"/>
      <c r="GF65" s="36"/>
      <c r="GG65" s="36"/>
      <c r="GH65" s="36"/>
      <c r="GI65" s="36"/>
      <c r="GJ65" s="36"/>
      <c r="GK65" s="36"/>
      <c r="GL65" s="36"/>
      <c r="GM65" s="36"/>
      <c r="GN65" s="36"/>
      <c r="GO65" s="36"/>
      <c r="GP65" s="36"/>
      <c r="GQ65" s="36"/>
      <c r="GR65" s="36"/>
      <c r="GS65" s="36"/>
      <c r="GT65" s="36"/>
      <c r="GU65" s="36"/>
      <c r="GV65" s="36"/>
      <c r="GW65" s="36"/>
      <c r="GX65" s="36"/>
      <c r="GY65" s="36"/>
      <c r="GZ65" s="36"/>
      <c r="HA65" s="36"/>
      <c r="HB65" s="36"/>
      <c r="HC65" s="36"/>
      <c r="HD65" s="36"/>
      <c r="HE65" s="36"/>
      <c r="HF65" s="36"/>
      <c r="HG65" s="36"/>
      <c r="HH65" s="36"/>
      <c r="HI65" s="36"/>
      <c r="HJ65" s="36"/>
      <c r="HK65" s="36"/>
      <c r="HL65" s="36"/>
      <c r="HM65" s="36"/>
      <c r="HN65" s="36"/>
      <c r="HO65" s="36"/>
      <c r="HP65" s="36"/>
      <c r="HQ65" s="36"/>
      <c r="HR65" s="36"/>
      <c r="HS65" s="36"/>
      <c r="HT65" s="36"/>
      <c r="HU65" s="36"/>
      <c r="HV65" s="36"/>
      <c r="HW65" s="36"/>
      <c r="HX65" s="36"/>
      <c r="HY65" s="36"/>
      <c r="HZ65" s="36"/>
      <c r="IA65" s="36"/>
      <c r="IB65" s="36"/>
      <c r="IC65" s="36"/>
      <c r="ID65" s="36"/>
      <c r="IE65" s="36"/>
      <c r="IF65" s="36"/>
      <c r="IG65" s="36"/>
      <c r="IH65" s="36"/>
      <c r="II65" s="36"/>
      <c r="IJ65" s="36"/>
      <c r="IK65" s="36"/>
      <c r="IL65" s="36"/>
      <c r="IM65" s="36"/>
      <c r="IN65" s="36"/>
      <c r="IO65" s="36"/>
      <c r="IP65" s="36"/>
      <c r="IQ65" s="36"/>
      <c r="IR65" s="36"/>
      <c r="IS65" s="36"/>
      <c r="IT65" s="36"/>
      <c r="IU65" s="36"/>
      <c r="IV65" s="36"/>
      <c r="IW65" s="36"/>
    </row>
    <row r="66" spans="1:257" ht="15.75" x14ac:dyDescent="0.25">
      <c r="A66" s="34" t="s">
        <v>77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  <c r="FN66" s="36"/>
      <c r="FO66" s="36"/>
      <c r="FP66" s="36"/>
      <c r="FQ66" s="36"/>
      <c r="FR66" s="36"/>
      <c r="FS66" s="36"/>
      <c r="FT66" s="36"/>
      <c r="FU66" s="36"/>
      <c r="FV66" s="36"/>
      <c r="FW66" s="36"/>
      <c r="FX66" s="36"/>
      <c r="FY66" s="36"/>
      <c r="FZ66" s="36"/>
      <c r="GA66" s="36"/>
      <c r="GB66" s="36"/>
      <c r="GC66" s="36"/>
      <c r="GD66" s="36"/>
      <c r="GE66" s="36"/>
      <c r="GF66" s="36"/>
      <c r="GG66" s="36"/>
      <c r="GH66" s="36"/>
      <c r="GI66" s="36"/>
      <c r="GJ66" s="36"/>
      <c r="GK66" s="36"/>
      <c r="GL66" s="36"/>
      <c r="GM66" s="36"/>
      <c r="GN66" s="36"/>
      <c r="GO66" s="36"/>
      <c r="GP66" s="36"/>
      <c r="GQ66" s="36"/>
      <c r="GR66" s="36"/>
      <c r="GS66" s="36"/>
      <c r="GT66" s="36"/>
      <c r="GU66" s="36"/>
      <c r="GV66" s="36"/>
      <c r="GW66" s="36"/>
      <c r="GX66" s="36"/>
      <c r="GY66" s="36"/>
      <c r="GZ66" s="36"/>
      <c r="HA66" s="36"/>
      <c r="HB66" s="36"/>
      <c r="HC66" s="36"/>
      <c r="HD66" s="36"/>
      <c r="HE66" s="36"/>
      <c r="HF66" s="36"/>
      <c r="HG66" s="36"/>
      <c r="HH66" s="36"/>
      <c r="HI66" s="36"/>
      <c r="HJ66" s="36"/>
      <c r="HK66" s="36"/>
      <c r="HL66" s="36"/>
      <c r="HM66" s="36"/>
      <c r="HN66" s="36"/>
      <c r="HO66" s="36"/>
      <c r="HP66" s="36"/>
      <c r="HQ66" s="36"/>
      <c r="HR66" s="36"/>
      <c r="HS66" s="36"/>
      <c r="HT66" s="36"/>
      <c r="HU66" s="36"/>
      <c r="HV66" s="36"/>
      <c r="HW66" s="36"/>
      <c r="HX66" s="36"/>
      <c r="HY66" s="36"/>
      <c r="HZ66" s="36"/>
      <c r="IA66" s="36"/>
      <c r="IB66" s="36"/>
      <c r="IC66" s="36"/>
      <c r="ID66" s="36"/>
      <c r="IE66" s="36"/>
      <c r="IF66" s="36"/>
      <c r="IG66" s="36"/>
      <c r="IH66" s="36"/>
      <c r="II66" s="36"/>
      <c r="IJ66" s="36"/>
      <c r="IK66" s="36"/>
      <c r="IL66" s="36"/>
      <c r="IM66" s="36"/>
      <c r="IN66" s="36"/>
      <c r="IO66" s="36"/>
      <c r="IP66" s="36"/>
      <c r="IQ66" s="36"/>
      <c r="IR66" s="36"/>
      <c r="IS66" s="36"/>
      <c r="IT66" s="36"/>
      <c r="IU66" s="36"/>
      <c r="IV66" s="36"/>
      <c r="IW66" s="36"/>
    </row>
  </sheetData>
  <mergeCells count="8">
    <mergeCell ref="J1:K1"/>
    <mergeCell ref="Q5:U6"/>
    <mergeCell ref="A2:K2"/>
    <mergeCell ref="A3:K3"/>
    <mergeCell ref="A5:A6"/>
    <mergeCell ref="B5:F6"/>
    <mergeCell ref="G5:K6"/>
    <mergeCell ref="L5:P6"/>
  </mergeCells>
  <pageMargins left="0.7" right="0.7" top="0.75" bottom="0.75" header="0.3" footer="0.3"/>
  <pageSetup paperSize="9" scale="6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W83"/>
  <sheetViews>
    <sheetView tabSelected="1" view="pageBreakPreview" topLeftCell="A27" zoomScaleNormal="100" zoomScaleSheetLayoutView="100" workbookViewId="0">
      <selection activeCell="Q56" sqref="Q56"/>
    </sheetView>
  </sheetViews>
  <sheetFormatPr defaultRowHeight="15" x14ac:dyDescent="0.25"/>
  <cols>
    <col min="1" max="1" width="24.140625" style="44" customWidth="1"/>
    <col min="2" max="2" width="10.85546875" style="44" customWidth="1"/>
    <col min="3" max="11" width="9.140625" style="44" customWidth="1"/>
    <col min="12" max="12" width="10.7109375" style="44" customWidth="1"/>
    <col min="13" max="13" width="9.140625" style="44" customWidth="1"/>
    <col min="14" max="14" width="9.85546875" style="44" customWidth="1"/>
    <col min="15" max="15" width="10.140625" style="44" customWidth="1"/>
    <col min="16" max="16" width="11" style="44" customWidth="1"/>
    <col min="17" max="21" width="9.140625" style="45" customWidth="1"/>
    <col min="22" max="29" width="9.140625" style="44" customWidth="1"/>
    <col min="30" max="16384" width="9.140625" style="44"/>
  </cols>
  <sheetData>
    <row r="1" spans="1:22" ht="15.75" x14ac:dyDescent="0.25">
      <c r="J1" s="71"/>
      <c r="K1" s="71"/>
    </row>
    <row r="2" spans="1:22" ht="15.75" x14ac:dyDescent="0.25">
      <c r="A2" s="67" t="s">
        <v>33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22" ht="15.75" x14ac:dyDescent="0.25">
      <c r="A3" s="67" t="s">
        <v>70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4" spans="1:22" x14ac:dyDescent="0.25">
      <c r="A4" s="48" t="s">
        <v>34</v>
      </c>
      <c r="B4" s="49"/>
      <c r="C4" s="49"/>
      <c r="D4" s="49"/>
      <c r="E4" s="49"/>
      <c r="F4" s="50"/>
      <c r="K4" s="51"/>
    </row>
    <row r="5" spans="1:22" x14ac:dyDescent="0.25">
      <c r="A5" s="73" t="s">
        <v>35</v>
      </c>
      <c r="B5" s="72" t="s">
        <v>29</v>
      </c>
      <c r="C5" s="72"/>
      <c r="D5" s="72"/>
      <c r="E5" s="72"/>
      <c r="F5" s="72"/>
      <c r="G5" s="72" t="s">
        <v>36</v>
      </c>
      <c r="H5" s="72"/>
      <c r="I5" s="72"/>
      <c r="J5" s="72"/>
      <c r="K5" s="72"/>
      <c r="L5" s="72" t="s">
        <v>42</v>
      </c>
      <c r="M5" s="72"/>
      <c r="N5" s="72"/>
      <c r="O5" s="72"/>
      <c r="P5" s="72"/>
      <c r="Q5" s="72" t="s">
        <v>43</v>
      </c>
      <c r="R5" s="72"/>
      <c r="S5" s="72"/>
      <c r="T5" s="72"/>
      <c r="U5" s="72"/>
    </row>
    <row r="6" spans="1:22" x14ac:dyDescent="0.25">
      <c r="A6" s="74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</row>
    <row r="7" spans="1:22" x14ac:dyDescent="0.25">
      <c r="A7" s="52" t="s">
        <v>37</v>
      </c>
      <c r="B7" s="53" t="s">
        <v>1</v>
      </c>
      <c r="C7" s="53" t="s">
        <v>39</v>
      </c>
      <c r="D7" s="53" t="s">
        <v>40</v>
      </c>
      <c r="E7" s="53" t="s">
        <v>2</v>
      </c>
      <c r="F7" s="53" t="s">
        <v>41</v>
      </c>
      <c r="G7" s="53" t="s">
        <v>1</v>
      </c>
      <c r="H7" s="53" t="s">
        <v>39</v>
      </c>
      <c r="I7" s="53" t="s">
        <v>40</v>
      </c>
      <c r="J7" s="53" t="s">
        <v>2</v>
      </c>
      <c r="K7" s="53" t="s">
        <v>41</v>
      </c>
      <c r="L7" s="53" t="s">
        <v>1</v>
      </c>
      <c r="M7" s="53" t="s">
        <v>39</v>
      </c>
      <c r="N7" s="53" t="s">
        <v>40</v>
      </c>
      <c r="O7" s="53" t="s">
        <v>2</v>
      </c>
      <c r="P7" s="53" t="s">
        <v>41</v>
      </c>
      <c r="Q7" s="53" t="s">
        <v>1</v>
      </c>
      <c r="R7" s="53" t="s">
        <v>39</v>
      </c>
      <c r="S7" s="53" t="s">
        <v>40</v>
      </c>
      <c r="T7" s="53" t="s">
        <v>2</v>
      </c>
      <c r="U7" s="53" t="s">
        <v>41</v>
      </c>
    </row>
    <row r="8" spans="1:22" x14ac:dyDescent="0.25">
      <c r="A8" s="54" t="s">
        <v>44</v>
      </c>
      <c r="B8" s="55" t="str">
        <f t="shared" ref="B8:E53" si="0">IF(L8/$P$54=0,"-",L8/$P$54)</f>
        <v>-</v>
      </c>
      <c r="C8" s="55">
        <f>M8/$P$54</f>
        <v>0</v>
      </c>
      <c r="D8" s="55">
        <f>N8/$P$54</f>
        <v>8.4904994474087753E-3</v>
      </c>
      <c r="E8" s="55">
        <f>O8/$P$54</f>
        <v>3.8691016218916426E-3</v>
      </c>
      <c r="F8" s="55">
        <f>P8/$P$54</f>
        <v>1.2359601069300417E-2</v>
      </c>
      <c r="G8" s="55" t="str">
        <f t="shared" ref="G8:K53" si="1">IF(Q8/$U$54=0,"-",Q8/$U$54)</f>
        <v>-</v>
      </c>
      <c r="H8" s="55" t="str">
        <f t="shared" si="1"/>
        <v>-</v>
      </c>
      <c r="I8" s="55">
        <f t="shared" si="1"/>
        <v>8.4904994474087735E-3</v>
      </c>
      <c r="J8" s="55">
        <f t="shared" si="1"/>
        <v>3.8691016218916417E-3</v>
      </c>
      <c r="K8" s="55">
        <f t="shared" si="1"/>
        <v>1.2359601069300416E-2</v>
      </c>
      <c r="L8" s="56"/>
      <c r="M8" s="56"/>
      <c r="N8" s="56">
        <v>599507</v>
      </c>
      <c r="O8" s="56">
        <v>273194</v>
      </c>
      <c r="P8" s="56">
        <f>SUM(L8:O8)</f>
        <v>872701</v>
      </c>
      <c r="Q8" s="57" t="str">
        <f>IF(L8/744*1.15=0,"0",L8/744*1.15)</f>
        <v>0</v>
      </c>
      <c r="R8" s="57" t="str">
        <f>IF(M8/744*1.15=0,"0",M8/744*1.15)</f>
        <v>0</v>
      </c>
      <c r="S8" s="57">
        <f>IF(N8/744*1.15=0,"0",N8/744*1.15)</f>
        <v>926.65732526881709</v>
      </c>
      <c r="T8" s="57">
        <f>IF(O8/744*1.15=0,"0",O8/744*1.15)</f>
        <v>422.27567204301073</v>
      </c>
      <c r="U8" s="57">
        <f>Q8+R8+S8+T8</f>
        <v>1348.9329973118279</v>
      </c>
      <c r="V8" s="44">
        <v>1</v>
      </c>
    </row>
    <row r="9" spans="1:22" x14ac:dyDescent="0.25">
      <c r="A9" s="54" t="s">
        <v>3</v>
      </c>
      <c r="B9" s="55">
        <f t="shared" si="0"/>
        <v>3.9999061878037458E-3</v>
      </c>
      <c r="C9" s="55" t="str">
        <f t="shared" si="0"/>
        <v>-</v>
      </c>
      <c r="D9" s="55">
        <f t="shared" si="0"/>
        <v>8.2979040281971356E-3</v>
      </c>
      <c r="E9" s="55">
        <f t="shared" si="0"/>
        <v>3.8441756760270581E-3</v>
      </c>
      <c r="F9" s="55">
        <f t="shared" ref="F9:F53" si="2">P9/$P$54</f>
        <v>1.6141985892027939E-2</v>
      </c>
      <c r="G9" s="55">
        <f t="shared" si="1"/>
        <v>3.9999061878037458E-3</v>
      </c>
      <c r="H9" s="55" t="str">
        <f t="shared" si="1"/>
        <v>-</v>
      </c>
      <c r="I9" s="55">
        <f t="shared" si="1"/>
        <v>8.2979040281971339E-3</v>
      </c>
      <c r="J9" s="55">
        <f t="shared" si="1"/>
        <v>3.8441756760270568E-3</v>
      </c>
      <c r="K9" s="55">
        <f t="shared" si="1"/>
        <v>1.6141985892027935E-2</v>
      </c>
      <c r="L9" s="56">
        <v>282430</v>
      </c>
      <c r="M9" s="56"/>
      <c r="N9" s="56">
        <v>585908</v>
      </c>
      <c r="O9" s="56">
        <v>271434</v>
      </c>
      <c r="P9" s="56">
        <f t="shared" ref="P9:P13" si="3">SUM(L9:O9)</f>
        <v>1139772</v>
      </c>
      <c r="Q9" s="57">
        <f t="shared" ref="Q9:T53" si="4">IF(L9/744*1.15=0,"0",L9/744*1.15)</f>
        <v>436.55174731182797</v>
      </c>
      <c r="R9" s="57" t="str">
        <f t="shared" si="4"/>
        <v>0</v>
      </c>
      <c r="S9" s="57">
        <f t="shared" si="4"/>
        <v>905.63736559139772</v>
      </c>
      <c r="T9" s="57">
        <f t="shared" si="4"/>
        <v>419.55524193548382</v>
      </c>
      <c r="U9" s="57">
        <f t="shared" ref="U9:U53" si="5">Q9+R9+S9+T9</f>
        <v>1761.7443548387093</v>
      </c>
      <c r="V9" s="44">
        <f>V8+1</f>
        <v>2</v>
      </c>
    </row>
    <row r="10" spans="1:22" x14ac:dyDescent="0.25">
      <c r="A10" s="54" t="s">
        <v>4</v>
      </c>
      <c r="B10" s="55">
        <f t="shared" si="0"/>
        <v>2.7662276546684683E-3</v>
      </c>
      <c r="C10" s="55">
        <f t="shared" si="0"/>
        <v>4.2895286837871284E-3</v>
      </c>
      <c r="D10" s="55">
        <f t="shared" si="0"/>
        <v>2.4187486393407676E-2</v>
      </c>
      <c r="E10" s="55">
        <f t="shared" si="0"/>
        <v>1.5638226861116992E-2</v>
      </c>
      <c r="F10" s="55">
        <f t="shared" si="2"/>
        <v>4.6881469592980264E-2</v>
      </c>
      <c r="G10" s="55">
        <f t="shared" si="1"/>
        <v>2.7662276546684674E-3</v>
      </c>
      <c r="H10" s="55">
        <f t="shared" si="1"/>
        <v>4.2895286837871275E-3</v>
      </c>
      <c r="I10" s="55">
        <f t="shared" si="1"/>
        <v>2.4187486393407676E-2</v>
      </c>
      <c r="J10" s="55">
        <f t="shared" si="1"/>
        <v>1.5638226861116988E-2</v>
      </c>
      <c r="K10" s="55">
        <f t="shared" si="1"/>
        <v>4.6881469592980257E-2</v>
      </c>
      <c r="L10" s="56">
        <v>195321</v>
      </c>
      <c r="M10" s="56">
        <v>302880</v>
      </c>
      <c r="N10" s="56">
        <v>1707858</v>
      </c>
      <c r="O10" s="56">
        <v>1104202</v>
      </c>
      <c r="P10" s="56">
        <f t="shared" si="3"/>
        <v>3310261</v>
      </c>
      <c r="Q10" s="57">
        <f t="shared" si="4"/>
        <v>301.9074596774193</v>
      </c>
      <c r="R10" s="57">
        <f t="shared" si="4"/>
        <v>468.16129032258061</v>
      </c>
      <c r="S10" s="57">
        <f t="shared" si="4"/>
        <v>2639.8342741935485</v>
      </c>
      <c r="T10" s="57">
        <f t="shared" si="4"/>
        <v>1706.7638440860214</v>
      </c>
      <c r="U10" s="57">
        <f t="shared" si="5"/>
        <v>5116.6668682795698</v>
      </c>
      <c r="V10" s="44">
        <f t="shared" ref="V10:V53" si="6">V9+1</f>
        <v>3</v>
      </c>
    </row>
    <row r="11" spans="1:22" x14ac:dyDescent="0.25">
      <c r="A11" s="54" t="s">
        <v>71</v>
      </c>
      <c r="B11" s="55" t="str">
        <f t="shared" si="0"/>
        <v>-</v>
      </c>
      <c r="C11" s="55" t="str">
        <f t="shared" si="0"/>
        <v>-</v>
      </c>
      <c r="D11" s="55">
        <f t="shared" si="0"/>
        <v>1.1974509368161829E-3</v>
      </c>
      <c r="E11" s="55">
        <f t="shared" si="0"/>
        <v>1.5875561520661712E-3</v>
      </c>
      <c r="F11" s="55">
        <f t="shared" si="2"/>
        <v>2.7850070888823541E-3</v>
      </c>
      <c r="G11" s="55" t="str">
        <f t="shared" si="1"/>
        <v>-</v>
      </c>
      <c r="H11" s="55" t="str">
        <f t="shared" si="1"/>
        <v>-</v>
      </c>
      <c r="I11" s="55">
        <f t="shared" si="1"/>
        <v>1.1974509368161826E-3</v>
      </c>
      <c r="J11" s="55">
        <f t="shared" si="1"/>
        <v>1.5875561520661708E-3</v>
      </c>
      <c r="K11" s="55">
        <f t="shared" si="1"/>
        <v>2.7850070888823532E-3</v>
      </c>
      <c r="L11" s="56"/>
      <c r="M11" s="56"/>
      <c r="N11" s="56">
        <v>84551</v>
      </c>
      <c r="O11" s="56">
        <v>112096</v>
      </c>
      <c r="P11" s="56">
        <f t="shared" si="3"/>
        <v>196647</v>
      </c>
      <c r="Q11" s="57" t="str">
        <f t="shared" si="4"/>
        <v>0</v>
      </c>
      <c r="R11" s="57" t="str">
        <f t="shared" si="4"/>
        <v>0</v>
      </c>
      <c r="S11" s="57">
        <f t="shared" si="4"/>
        <v>130.69038978494623</v>
      </c>
      <c r="T11" s="57">
        <f t="shared" si="4"/>
        <v>173.26666666666665</v>
      </c>
      <c r="U11" s="57">
        <f t="shared" si="5"/>
        <v>303.95705645161286</v>
      </c>
      <c r="V11" s="44">
        <f t="shared" si="6"/>
        <v>4</v>
      </c>
    </row>
    <row r="12" spans="1:22" x14ac:dyDescent="0.25">
      <c r="A12" s="54" t="s">
        <v>51</v>
      </c>
      <c r="B12" s="55" t="str">
        <f t="shared" si="0"/>
        <v>-</v>
      </c>
      <c r="C12" s="55" t="str">
        <f t="shared" si="0"/>
        <v>-</v>
      </c>
      <c r="D12" s="55">
        <f t="shared" si="0"/>
        <v>1.1529652046825201E-2</v>
      </c>
      <c r="E12" s="55">
        <f t="shared" si="0"/>
        <v>6.1107372533952958E-3</v>
      </c>
      <c r="F12" s="55">
        <f t="shared" si="2"/>
        <v>1.7640389300220497E-2</v>
      </c>
      <c r="G12" s="55" t="str">
        <f t="shared" si="1"/>
        <v>-</v>
      </c>
      <c r="H12" s="55" t="str">
        <f t="shared" si="1"/>
        <v>-</v>
      </c>
      <c r="I12" s="55">
        <f t="shared" si="1"/>
        <v>1.15296520468252E-2</v>
      </c>
      <c r="J12" s="55">
        <f t="shared" si="1"/>
        <v>6.1107372533952958E-3</v>
      </c>
      <c r="K12" s="55">
        <f t="shared" si="1"/>
        <v>1.7640389300220494E-2</v>
      </c>
      <c r="L12" s="56"/>
      <c r="M12" s="56"/>
      <c r="N12" s="56">
        <v>814099</v>
      </c>
      <c r="O12" s="56">
        <v>431474</v>
      </c>
      <c r="P12" s="56">
        <f t="shared" si="3"/>
        <v>1245573</v>
      </c>
      <c r="Q12" s="57" t="str">
        <f t="shared" si="4"/>
        <v>0</v>
      </c>
      <c r="R12" s="57" t="str">
        <f t="shared" si="4"/>
        <v>0</v>
      </c>
      <c r="S12" s="57">
        <f t="shared" si="4"/>
        <v>1258.351948924731</v>
      </c>
      <c r="T12" s="57">
        <f t="shared" si="4"/>
        <v>666.92889784946237</v>
      </c>
      <c r="U12" s="57">
        <f t="shared" si="5"/>
        <v>1925.2808467741934</v>
      </c>
      <c r="V12" s="44">
        <f t="shared" si="6"/>
        <v>5</v>
      </c>
    </row>
    <row r="13" spans="1:22" x14ac:dyDescent="0.25">
      <c r="A13" s="54" t="s">
        <v>72</v>
      </c>
      <c r="B13" s="55" t="str">
        <f t="shared" si="0"/>
        <v>-</v>
      </c>
      <c r="C13" s="55" t="str">
        <f t="shared" si="0"/>
        <v>-</v>
      </c>
      <c r="D13" s="55">
        <f t="shared" si="0"/>
        <v>5.4025996288639957E-3</v>
      </c>
      <c r="E13" s="55">
        <f t="shared" si="0"/>
        <v>1.0002243901626581E-3</v>
      </c>
      <c r="F13" s="55">
        <f t="shared" si="2"/>
        <v>6.4028240190266541E-3</v>
      </c>
      <c r="G13" s="55" t="str">
        <f t="shared" si="1"/>
        <v>-</v>
      </c>
      <c r="H13" s="55" t="str">
        <f t="shared" si="1"/>
        <v>-</v>
      </c>
      <c r="I13" s="55">
        <f t="shared" si="1"/>
        <v>5.4025996288639948E-3</v>
      </c>
      <c r="J13" s="55">
        <f t="shared" si="1"/>
        <v>1.0002243901626581E-3</v>
      </c>
      <c r="K13" s="55">
        <f t="shared" si="1"/>
        <v>6.4028240190266523E-3</v>
      </c>
      <c r="L13" s="56"/>
      <c r="M13" s="56"/>
      <c r="N13" s="56">
        <v>381473</v>
      </c>
      <c r="O13" s="56">
        <v>70625</v>
      </c>
      <c r="P13" s="56">
        <f t="shared" si="3"/>
        <v>452098</v>
      </c>
      <c r="Q13" s="57" t="str">
        <f t="shared" si="4"/>
        <v>0</v>
      </c>
      <c r="R13" s="57" t="str">
        <f t="shared" si="4"/>
        <v>0</v>
      </c>
      <c r="S13" s="57">
        <f t="shared" si="4"/>
        <v>589.64240591397845</v>
      </c>
      <c r="T13" s="57">
        <f t="shared" si="4"/>
        <v>109.16498655913978</v>
      </c>
      <c r="U13" s="57">
        <f t="shared" si="5"/>
        <v>698.80739247311817</v>
      </c>
      <c r="V13" s="44">
        <f t="shared" si="6"/>
        <v>6</v>
      </c>
    </row>
    <row r="14" spans="1:22" x14ac:dyDescent="0.25">
      <c r="A14" s="54" t="s">
        <v>5</v>
      </c>
      <c r="B14" s="55" t="str">
        <f t="shared" si="0"/>
        <v>-</v>
      </c>
      <c r="C14" s="55" t="str">
        <f t="shared" si="0"/>
        <v>-</v>
      </c>
      <c r="D14" s="55">
        <f t="shared" si="0"/>
        <v>1.496841287835249E-2</v>
      </c>
      <c r="E14" s="55">
        <f t="shared" si="0"/>
        <v>5.3079093595170572E-3</v>
      </c>
      <c r="F14" s="55">
        <f t="shared" si="2"/>
        <v>2.0276322237869546E-2</v>
      </c>
      <c r="G14" s="55" t="str">
        <f t="shared" si="1"/>
        <v>-</v>
      </c>
      <c r="H14" s="55" t="str">
        <f t="shared" si="1"/>
        <v>-</v>
      </c>
      <c r="I14" s="55">
        <f t="shared" si="1"/>
        <v>1.4968412878352488E-2</v>
      </c>
      <c r="J14" s="55">
        <f t="shared" si="1"/>
        <v>5.3079093595170563E-3</v>
      </c>
      <c r="K14" s="55">
        <f t="shared" si="1"/>
        <v>2.0276322237869546E-2</v>
      </c>
      <c r="L14" s="56"/>
      <c r="M14" s="56"/>
      <c r="N14" s="56">
        <f>198425+155260+95523+607699</f>
        <v>1056907</v>
      </c>
      <c r="O14" s="56">
        <v>374787</v>
      </c>
      <c r="P14" s="56">
        <f t="shared" ref="P14:P25" si="7">L14+M14+N14+O14</f>
        <v>1431694</v>
      </c>
      <c r="Q14" s="57" t="str">
        <f t="shared" si="4"/>
        <v>0</v>
      </c>
      <c r="R14" s="57" t="str">
        <f t="shared" si="4"/>
        <v>0</v>
      </c>
      <c r="S14" s="57">
        <f t="shared" si="4"/>
        <v>1633.6600134408602</v>
      </c>
      <c r="T14" s="57">
        <f t="shared" si="4"/>
        <v>579.30786290322578</v>
      </c>
      <c r="U14" s="57">
        <f t="shared" si="5"/>
        <v>2212.9678763440861</v>
      </c>
      <c r="V14" s="44">
        <f t="shared" si="6"/>
        <v>7</v>
      </c>
    </row>
    <row r="15" spans="1:22" x14ac:dyDescent="0.25">
      <c r="A15" s="54" t="s">
        <v>6</v>
      </c>
      <c r="B15" s="55" t="str">
        <f t="shared" si="0"/>
        <v>-</v>
      </c>
      <c r="C15" s="55" t="str">
        <f t="shared" si="0"/>
        <v>-</v>
      </c>
      <c r="D15" s="55">
        <f t="shared" si="0"/>
        <v>3.5399516742559561E-3</v>
      </c>
      <c r="E15" s="55">
        <f t="shared" si="0"/>
        <v>6.6103891682262848E-3</v>
      </c>
      <c r="F15" s="55">
        <f t="shared" si="2"/>
        <v>1.0150340842482241E-2</v>
      </c>
      <c r="G15" s="55" t="str">
        <f t="shared" si="1"/>
        <v>-</v>
      </c>
      <c r="H15" s="55" t="str">
        <f t="shared" si="1"/>
        <v>-</v>
      </c>
      <c r="I15" s="55">
        <f t="shared" si="1"/>
        <v>3.5399516742559553E-3</v>
      </c>
      <c r="J15" s="55">
        <f t="shared" si="1"/>
        <v>6.610389168226284E-3</v>
      </c>
      <c r="K15" s="55">
        <f t="shared" si="1"/>
        <v>1.0150340842482239E-2</v>
      </c>
      <c r="L15" s="56"/>
      <c r="M15" s="56"/>
      <c r="N15" s="56">
        <v>249953</v>
      </c>
      <c r="O15" s="56">
        <v>466754</v>
      </c>
      <c r="P15" s="56">
        <f t="shared" si="7"/>
        <v>716707</v>
      </c>
      <c r="Q15" s="57" t="str">
        <f t="shared" si="4"/>
        <v>0</v>
      </c>
      <c r="R15" s="57" t="str">
        <f t="shared" si="4"/>
        <v>0</v>
      </c>
      <c r="S15" s="57">
        <f t="shared" si="4"/>
        <v>386.35208333333327</v>
      </c>
      <c r="T15" s="57">
        <f t="shared" si="4"/>
        <v>721.46115591397847</v>
      </c>
      <c r="U15" s="57">
        <f t="shared" si="5"/>
        <v>1107.8132392473117</v>
      </c>
      <c r="V15" s="44">
        <f t="shared" si="6"/>
        <v>8</v>
      </c>
    </row>
    <row r="16" spans="1:22" x14ac:dyDescent="0.25">
      <c r="A16" s="54" t="s">
        <v>52</v>
      </c>
      <c r="B16" s="55">
        <f t="shared" si="0"/>
        <v>4.6035120431123691E-2</v>
      </c>
      <c r="C16" s="55">
        <f t="shared" si="0"/>
        <v>6.2167574981352273E-3</v>
      </c>
      <c r="D16" s="55">
        <f t="shared" si="0"/>
        <v>0.11657462666739707</v>
      </c>
      <c r="E16" s="55">
        <f t="shared" si="0"/>
        <v>2.698277543495917E-2</v>
      </c>
      <c r="F16" s="55">
        <f t="shared" si="2"/>
        <v>0.19580928003161516</v>
      </c>
      <c r="G16" s="55">
        <f t="shared" si="1"/>
        <v>4.6035120431123684E-2</v>
      </c>
      <c r="H16" s="55">
        <f t="shared" si="1"/>
        <v>6.2167574981352265E-3</v>
      </c>
      <c r="I16" s="55">
        <f t="shared" si="1"/>
        <v>0.11657462666739704</v>
      </c>
      <c r="J16" s="55">
        <f t="shared" si="1"/>
        <v>2.6982775434959166E-2</v>
      </c>
      <c r="K16" s="55">
        <f t="shared" si="1"/>
        <v>0.19580928003161513</v>
      </c>
      <c r="L16" s="56">
        <v>3250501</v>
      </c>
      <c r="M16" s="56">
        <v>438960</v>
      </c>
      <c r="N16" s="56">
        <v>8231236</v>
      </c>
      <c r="O16" s="56">
        <v>1905231</v>
      </c>
      <c r="P16" s="56">
        <f t="shared" si="7"/>
        <v>13825928</v>
      </c>
      <c r="Q16" s="57">
        <f t="shared" si="4"/>
        <v>5024.2959005376342</v>
      </c>
      <c r="R16" s="57">
        <f t="shared" si="4"/>
        <v>678.5</v>
      </c>
      <c r="S16" s="57">
        <f t="shared" si="4"/>
        <v>12723.0126344086</v>
      </c>
      <c r="T16" s="57">
        <f t="shared" si="4"/>
        <v>2944.913508064516</v>
      </c>
      <c r="U16" s="57">
        <f t="shared" si="5"/>
        <v>21370.722043010752</v>
      </c>
      <c r="V16" s="44">
        <f t="shared" si="6"/>
        <v>9</v>
      </c>
    </row>
    <row r="17" spans="1:22" x14ac:dyDescent="0.25">
      <c r="A17" s="54" t="s">
        <v>54</v>
      </c>
      <c r="B17" s="55" t="str">
        <f t="shared" si="0"/>
        <v>-</v>
      </c>
      <c r="C17" s="55" t="str">
        <f t="shared" si="0"/>
        <v>-</v>
      </c>
      <c r="D17" s="55">
        <f t="shared" si="0"/>
        <v>6.597543808624479E-3</v>
      </c>
      <c r="E17" s="55">
        <f t="shared" si="0"/>
        <v>5.2494608489584548E-3</v>
      </c>
      <c r="F17" s="55">
        <f t="shared" si="2"/>
        <v>1.1847004657582934E-2</v>
      </c>
      <c r="G17" s="55" t="str">
        <f t="shared" si="1"/>
        <v>-</v>
      </c>
      <c r="H17" s="55" t="str">
        <f t="shared" si="1"/>
        <v>-</v>
      </c>
      <c r="I17" s="55">
        <f t="shared" si="1"/>
        <v>6.5975438086244781E-3</v>
      </c>
      <c r="J17" s="55">
        <f t="shared" si="1"/>
        <v>5.2494608489584539E-3</v>
      </c>
      <c r="K17" s="55">
        <f t="shared" si="1"/>
        <v>1.1847004657582932E-2</v>
      </c>
      <c r="L17" s="56"/>
      <c r="M17" s="56"/>
      <c r="N17" s="56">
        <v>465847</v>
      </c>
      <c r="O17" s="56">
        <v>370660</v>
      </c>
      <c r="P17" s="56">
        <f t="shared" si="7"/>
        <v>836507</v>
      </c>
      <c r="Q17" s="57" t="str">
        <f t="shared" si="4"/>
        <v>0</v>
      </c>
      <c r="R17" s="57" t="str">
        <f t="shared" si="4"/>
        <v>0</v>
      </c>
      <c r="S17" s="57">
        <f t="shared" si="4"/>
        <v>720.05920698924729</v>
      </c>
      <c r="T17" s="57">
        <f t="shared" si="4"/>
        <v>572.92876344086017</v>
      </c>
      <c r="U17" s="57">
        <f t="shared" si="5"/>
        <v>1292.9879704301075</v>
      </c>
      <c r="V17" s="44">
        <f t="shared" si="6"/>
        <v>10</v>
      </c>
    </row>
    <row r="18" spans="1:22" x14ac:dyDescent="0.25">
      <c r="A18" s="54" t="s">
        <v>7</v>
      </c>
      <c r="B18" s="55" t="str">
        <f t="shared" si="0"/>
        <v>-</v>
      </c>
      <c r="C18" s="55" t="str">
        <f t="shared" si="0"/>
        <v>-</v>
      </c>
      <c r="D18" s="55">
        <f t="shared" si="0"/>
        <v>8.2031995963809563E-3</v>
      </c>
      <c r="E18" s="55">
        <f t="shared" si="0"/>
        <v>2.4939258585671242E-3</v>
      </c>
      <c r="F18" s="55">
        <f t="shared" si="2"/>
        <v>1.0697125454948081E-2</v>
      </c>
      <c r="G18" s="55" t="str">
        <f t="shared" si="1"/>
        <v>-</v>
      </c>
      <c r="H18" s="55" t="str">
        <f t="shared" si="1"/>
        <v>-</v>
      </c>
      <c r="I18" s="55">
        <f t="shared" si="1"/>
        <v>8.2031995963809546E-3</v>
      </c>
      <c r="J18" s="55">
        <f t="shared" si="1"/>
        <v>2.4939258585671238E-3</v>
      </c>
      <c r="K18" s="55">
        <f t="shared" si="1"/>
        <v>1.0697125454948079E-2</v>
      </c>
      <c r="L18" s="56"/>
      <c r="M18" s="56"/>
      <c r="N18" s="56">
        <v>579221</v>
      </c>
      <c r="O18" s="56">
        <v>176094</v>
      </c>
      <c r="P18" s="56">
        <f t="shared" si="7"/>
        <v>755315</v>
      </c>
      <c r="Q18" s="57" t="str">
        <f t="shared" si="4"/>
        <v>0</v>
      </c>
      <c r="R18" s="57" t="str">
        <f t="shared" si="4"/>
        <v>0</v>
      </c>
      <c r="S18" s="57">
        <f t="shared" si="4"/>
        <v>895.30127688172036</v>
      </c>
      <c r="T18" s="57">
        <f t="shared" si="4"/>
        <v>272.1883064516129</v>
      </c>
      <c r="U18" s="57">
        <f t="shared" si="5"/>
        <v>1167.4895833333333</v>
      </c>
      <c r="V18" s="44">
        <f t="shared" si="6"/>
        <v>11</v>
      </c>
    </row>
    <row r="19" spans="1:22" x14ac:dyDescent="0.25">
      <c r="A19" s="54" t="s">
        <v>73</v>
      </c>
      <c r="B19" s="55" t="str">
        <f t="shared" si="0"/>
        <v>-</v>
      </c>
      <c r="C19" s="55" t="str">
        <f t="shared" si="0"/>
        <v>-</v>
      </c>
      <c r="D19" s="55">
        <f t="shared" si="0"/>
        <v>1.3101700295072214E-3</v>
      </c>
      <c r="E19" s="55">
        <f t="shared" si="0"/>
        <v>1.5106256191477492E-3</v>
      </c>
      <c r="F19" s="55">
        <f t="shared" si="2"/>
        <v>2.8207956486549705E-3</v>
      </c>
      <c r="G19" s="55" t="str">
        <f t="shared" si="1"/>
        <v>-</v>
      </c>
      <c r="H19" s="55" t="str">
        <f t="shared" si="1"/>
        <v>-</v>
      </c>
      <c r="I19" s="55">
        <f t="shared" si="1"/>
        <v>1.3101700295072211E-3</v>
      </c>
      <c r="J19" s="55">
        <f t="shared" si="1"/>
        <v>1.5106256191477489E-3</v>
      </c>
      <c r="K19" s="55">
        <f t="shared" si="1"/>
        <v>2.8207956486549697E-3</v>
      </c>
      <c r="L19" s="56"/>
      <c r="M19" s="56"/>
      <c r="N19" s="56">
        <v>92510</v>
      </c>
      <c r="O19" s="56">
        <v>106664</v>
      </c>
      <c r="P19" s="56">
        <f t="shared" si="7"/>
        <v>199174</v>
      </c>
      <c r="Q19" s="57" t="str">
        <f t="shared" si="4"/>
        <v>0</v>
      </c>
      <c r="R19" s="57" t="str">
        <f t="shared" si="4"/>
        <v>0</v>
      </c>
      <c r="S19" s="57">
        <f t="shared" si="4"/>
        <v>142.9926075268817</v>
      </c>
      <c r="T19" s="57">
        <f t="shared" si="4"/>
        <v>164.87043010752689</v>
      </c>
      <c r="U19" s="57">
        <f t="shared" si="5"/>
        <v>307.86303763440856</v>
      </c>
      <c r="V19" s="44">
        <f t="shared" si="6"/>
        <v>12</v>
      </c>
    </row>
    <row r="20" spans="1:22" x14ac:dyDescent="0.25">
      <c r="A20" s="54" t="s">
        <v>8</v>
      </c>
      <c r="B20" s="55" t="str">
        <f t="shared" si="0"/>
        <v>-</v>
      </c>
      <c r="C20" s="55" t="str">
        <f t="shared" si="0"/>
        <v>-</v>
      </c>
      <c r="D20" s="55">
        <f t="shared" si="0"/>
        <v>5.5042861580161077E-3</v>
      </c>
      <c r="E20" s="55">
        <f t="shared" si="0"/>
        <v>1.3298275368140641E-3</v>
      </c>
      <c r="F20" s="55">
        <f t="shared" si="2"/>
        <v>6.8341136948301719E-3</v>
      </c>
      <c r="G20" s="55" t="str">
        <f t="shared" si="1"/>
        <v>-</v>
      </c>
      <c r="H20" s="55" t="str">
        <f t="shared" si="1"/>
        <v>-</v>
      </c>
      <c r="I20" s="55">
        <f t="shared" si="1"/>
        <v>5.5042861580161069E-3</v>
      </c>
      <c r="J20" s="55">
        <f t="shared" si="1"/>
        <v>1.3298275368140639E-3</v>
      </c>
      <c r="K20" s="55">
        <f t="shared" si="1"/>
        <v>6.8341136948301701E-3</v>
      </c>
      <c r="L20" s="56"/>
      <c r="M20" s="56"/>
      <c r="N20" s="56">
        <f>7703+202995+177955</f>
        <v>388653</v>
      </c>
      <c r="O20" s="56">
        <f>66945+26953</f>
        <v>93898</v>
      </c>
      <c r="P20" s="56">
        <f t="shared" si="7"/>
        <v>482551</v>
      </c>
      <c r="Q20" s="57" t="str">
        <f t="shared" si="4"/>
        <v>0</v>
      </c>
      <c r="R20" s="57" t="str">
        <f t="shared" si="4"/>
        <v>0</v>
      </c>
      <c r="S20" s="57">
        <f t="shared" si="4"/>
        <v>600.74052419354837</v>
      </c>
      <c r="T20" s="57">
        <f t="shared" si="4"/>
        <v>145.13803763440859</v>
      </c>
      <c r="U20" s="57">
        <f t="shared" si="5"/>
        <v>745.8785618279569</v>
      </c>
      <c r="V20" s="44">
        <f t="shared" si="6"/>
        <v>13</v>
      </c>
    </row>
    <row r="21" spans="1:22" x14ac:dyDescent="0.25">
      <c r="A21" s="54" t="s">
        <v>9</v>
      </c>
      <c r="B21" s="55">
        <f t="shared" si="0"/>
        <v>3.089018653614837E-3</v>
      </c>
      <c r="C21" s="55" t="str">
        <f t="shared" si="0"/>
        <v>-</v>
      </c>
      <c r="D21" s="55">
        <f t="shared" si="0"/>
        <v>2.7595288067173611E-3</v>
      </c>
      <c r="E21" s="55">
        <f t="shared" si="0"/>
        <v>3.9819056893981289E-3</v>
      </c>
      <c r="F21" s="55">
        <f t="shared" si="2"/>
        <v>9.8304531497303265E-3</v>
      </c>
      <c r="G21" s="55">
        <f t="shared" si="1"/>
        <v>3.089018653614837E-3</v>
      </c>
      <c r="H21" s="55" t="str">
        <f t="shared" si="1"/>
        <v>-</v>
      </c>
      <c r="I21" s="55">
        <f t="shared" si="1"/>
        <v>2.7595288067173603E-3</v>
      </c>
      <c r="J21" s="55">
        <f t="shared" si="1"/>
        <v>3.9819056893981271E-3</v>
      </c>
      <c r="K21" s="55">
        <f t="shared" si="1"/>
        <v>9.8304531497303248E-3</v>
      </c>
      <c r="L21" s="56">
        <v>218113</v>
      </c>
      <c r="M21" s="56"/>
      <c r="N21" s="56">
        <v>194848</v>
      </c>
      <c r="O21" s="56">
        <v>281159</v>
      </c>
      <c r="P21" s="56">
        <f t="shared" si="7"/>
        <v>694120</v>
      </c>
      <c r="Q21" s="57">
        <f t="shared" si="4"/>
        <v>337.13702956989249</v>
      </c>
      <c r="R21" s="57" t="str">
        <f t="shared" si="4"/>
        <v>0</v>
      </c>
      <c r="S21" s="57">
        <f t="shared" si="4"/>
        <v>301.17634408602146</v>
      </c>
      <c r="T21" s="57">
        <f t="shared" si="4"/>
        <v>434.58716397849457</v>
      </c>
      <c r="U21" s="57">
        <f t="shared" si="5"/>
        <v>1072.9005376344085</v>
      </c>
      <c r="V21" s="44">
        <f t="shared" si="6"/>
        <v>14</v>
      </c>
    </row>
    <row r="22" spans="1:22" x14ac:dyDescent="0.25">
      <c r="A22" s="54" t="s">
        <v>10</v>
      </c>
      <c r="B22" s="55" t="str">
        <f t="shared" si="0"/>
        <v>-</v>
      </c>
      <c r="C22" s="55" t="str">
        <f t="shared" si="0"/>
        <v>-</v>
      </c>
      <c r="D22" s="55">
        <f t="shared" si="0"/>
        <v>1.3583323386559104E-2</v>
      </c>
      <c r="E22" s="55">
        <f t="shared" si="0"/>
        <v>3.6264135489737339E-3</v>
      </c>
      <c r="F22" s="55">
        <f t="shared" si="2"/>
        <v>1.7209736935532835E-2</v>
      </c>
      <c r="G22" s="55" t="str">
        <f t="shared" si="1"/>
        <v>-</v>
      </c>
      <c r="H22" s="55" t="str">
        <f t="shared" si="1"/>
        <v>-</v>
      </c>
      <c r="I22" s="55">
        <f t="shared" si="1"/>
        <v>1.35833233865591E-2</v>
      </c>
      <c r="J22" s="55">
        <f t="shared" si="1"/>
        <v>3.6264135489737334E-3</v>
      </c>
      <c r="K22" s="55">
        <f t="shared" si="1"/>
        <v>1.7209736935532835E-2</v>
      </c>
      <c r="L22" s="56"/>
      <c r="M22" s="56"/>
      <c r="N22" s="56">
        <v>959107</v>
      </c>
      <c r="O22" s="56">
        <v>256058</v>
      </c>
      <c r="P22" s="56">
        <f t="shared" si="7"/>
        <v>1215165</v>
      </c>
      <c r="Q22" s="57" t="str">
        <f t="shared" si="4"/>
        <v>0</v>
      </c>
      <c r="R22" s="57" t="str">
        <f t="shared" si="4"/>
        <v>0</v>
      </c>
      <c r="S22" s="57">
        <f t="shared" si="4"/>
        <v>1482.4906586021505</v>
      </c>
      <c r="T22" s="57">
        <f t="shared" si="4"/>
        <v>395.78857526881723</v>
      </c>
      <c r="U22" s="57">
        <f t="shared" si="5"/>
        <v>1878.2792338709678</v>
      </c>
      <c r="V22" s="44">
        <f t="shared" si="6"/>
        <v>15</v>
      </c>
    </row>
    <row r="23" spans="1:22" x14ac:dyDescent="0.25">
      <c r="A23" s="54" t="s">
        <v>74</v>
      </c>
      <c r="B23" s="55" t="str">
        <f t="shared" si="0"/>
        <v>-</v>
      </c>
      <c r="C23" s="55" t="str">
        <f t="shared" si="0"/>
        <v>-</v>
      </c>
      <c r="D23" s="55">
        <f t="shared" si="0"/>
        <v>3.0153596510911419E-3</v>
      </c>
      <c r="E23" s="55">
        <f t="shared" si="0"/>
        <v>5.0728548575201772E-4</v>
      </c>
      <c r="F23" s="55">
        <f t="shared" si="2"/>
        <v>3.5226451368431597E-3</v>
      </c>
      <c r="G23" s="55" t="str">
        <f t="shared" si="1"/>
        <v>-</v>
      </c>
      <c r="H23" s="55" t="str">
        <f t="shared" si="1"/>
        <v>-</v>
      </c>
      <c r="I23" s="55">
        <f t="shared" si="1"/>
        <v>3.0153596510911411E-3</v>
      </c>
      <c r="J23" s="55">
        <f t="shared" si="1"/>
        <v>5.0728548575201761E-4</v>
      </c>
      <c r="K23" s="55">
        <f t="shared" si="1"/>
        <v>3.5226451368431588E-3</v>
      </c>
      <c r="L23" s="56"/>
      <c r="M23" s="56"/>
      <c r="N23" s="56">
        <v>212912</v>
      </c>
      <c r="O23" s="56">
        <v>35819</v>
      </c>
      <c r="P23" s="56">
        <f t="shared" si="7"/>
        <v>248731</v>
      </c>
      <c r="Q23" s="57" t="str">
        <f t="shared" si="4"/>
        <v>0</v>
      </c>
      <c r="R23" s="57" t="str">
        <f t="shared" si="4"/>
        <v>0</v>
      </c>
      <c r="S23" s="57">
        <f t="shared" si="4"/>
        <v>329.09784946236556</v>
      </c>
      <c r="T23" s="57">
        <f t="shared" si="4"/>
        <v>55.365389784946231</v>
      </c>
      <c r="U23" s="57">
        <f t="shared" si="5"/>
        <v>384.46323924731178</v>
      </c>
      <c r="V23" s="44">
        <f t="shared" si="6"/>
        <v>16</v>
      </c>
    </row>
    <row r="24" spans="1:22" x14ac:dyDescent="0.25">
      <c r="A24" s="54" t="s">
        <v>75</v>
      </c>
      <c r="B24" s="55">
        <f t="shared" si="0"/>
        <v>1.0471928031543105E-2</v>
      </c>
      <c r="C24" s="55" t="str">
        <f t="shared" si="0"/>
        <v>-</v>
      </c>
      <c r="D24" s="55">
        <f t="shared" si="0"/>
        <v>1.2639578923730516E-3</v>
      </c>
      <c r="E24" s="55">
        <f t="shared" si="0"/>
        <v>2.0270742224988499E-3</v>
      </c>
      <c r="F24" s="55">
        <f t="shared" si="2"/>
        <v>1.3762960146415006E-2</v>
      </c>
      <c r="G24" s="55">
        <f t="shared" si="1"/>
        <v>1.0471928031543102E-2</v>
      </c>
      <c r="H24" s="55" t="str">
        <f t="shared" si="1"/>
        <v>-</v>
      </c>
      <c r="I24" s="55">
        <f t="shared" si="1"/>
        <v>1.2639578923730511E-3</v>
      </c>
      <c r="J24" s="55">
        <f t="shared" si="1"/>
        <v>2.0270742224988494E-3</v>
      </c>
      <c r="K24" s="55">
        <f t="shared" si="1"/>
        <v>1.3762960146415003E-2</v>
      </c>
      <c r="L24" s="56">
        <f>523008+216406</f>
        <v>739414</v>
      </c>
      <c r="M24" s="56"/>
      <c r="N24" s="56">
        <v>89247</v>
      </c>
      <c r="O24" s="56">
        <v>143130</v>
      </c>
      <c r="P24" s="56">
        <f t="shared" si="7"/>
        <v>971791</v>
      </c>
      <c r="Q24" s="57">
        <f t="shared" si="4"/>
        <v>1142.9114247311827</v>
      </c>
      <c r="R24" s="57" t="str">
        <f t="shared" si="4"/>
        <v>0</v>
      </c>
      <c r="S24" s="57">
        <f t="shared" si="4"/>
        <v>137.94899193548386</v>
      </c>
      <c r="T24" s="57">
        <f t="shared" si="4"/>
        <v>221.23588709677418</v>
      </c>
      <c r="U24" s="57">
        <f t="shared" si="5"/>
        <v>1502.0963037634408</v>
      </c>
      <c r="V24" s="44">
        <f t="shared" si="6"/>
        <v>17</v>
      </c>
    </row>
    <row r="25" spans="1:22" x14ac:dyDescent="0.25">
      <c r="A25" s="54" t="s">
        <v>11</v>
      </c>
      <c r="B25" s="55">
        <f t="shared" si="0"/>
        <v>5.1237122845654744E-3</v>
      </c>
      <c r="C25" s="55" t="str">
        <f t="shared" si="0"/>
        <v>-</v>
      </c>
      <c r="D25" s="55">
        <f t="shared" si="0"/>
        <v>1.559256706028323E-2</v>
      </c>
      <c r="E25" s="55">
        <f t="shared" si="0"/>
        <v>7.2746656255174612E-3</v>
      </c>
      <c r="F25" s="55">
        <f t="shared" si="2"/>
        <v>2.7990944970366166E-2</v>
      </c>
      <c r="G25" s="55">
        <f t="shared" si="1"/>
        <v>5.1237122845654735E-3</v>
      </c>
      <c r="H25" s="55" t="str">
        <f t="shared" si="1"/>
        <v>-</v>
      </c>
      <c r="I25" s="55">
        <f t="shared" si="1"/>
        <v>1.5592567060283228E-2</v>
      </c>
      <c r="J25" s="55">
        <f t="shared" si="1"/>
        <v>7.2746656255174586E-3</v>
      </c>
      <c r="K25" s="55">
        <f t="shared" si="1"/>
        <v>2.7990944970366156E-2</v>
      </c>
      <c r="L25" s="56">
        <v>361781</v>
      </c>
      <c r="M25" s="56"/>
      <c r="N25" s="56">
        <v>1100978</v>
      </c>
      <c r="O25" s="56">
        <v>513658</v>
      </c>
      <c r="P25" s="56">
        <f t="shared" si="7"/>
        <v>1976417</v>
      </c>
      <c r="Q25" s="57">
        <f t="shared" si="4"/>
        <v>559.20450268817194</v>
      </c>
      <c r="R25" s="57" t="str">
        <f t="shared" si="4"/>
        <v>0</v>
      </c>
      <c r="S25" s="57">
        <f t="shared" si="4"/>
        <v>1701.7805107526881</v>
      </c>
      <c r="T25" s="57">
        <f t="shared" si="4"/>
        <v>793.96061827956976</v>
      </c>
      <c r="U25" s="57">
        <f t="shared" si="5"/>
        <v>3054.9456317204294</v>
      </c>
      <c r="V25" s="44">
        <f t="shared" si="6"/>
        <v>18</v>
      </c>
    </row>
    <row r="26" spans="1:22" x14ac:dyDescent="0.25">
      <c r="A26" s="54" t="s">
        <v>12</v>
      </c>
      <c r="B26" s="55" t="str">
        <f t="shared" si="0"/>
        <v>-</v>
      </c>
      <c r="C26" s="55" t="str">
        <f t="shared" si="0"/>
        <v>-</v>
      </c>
      <c r="D26" s="55">
        <f t="shared" si="0"/>
        <v>8.0821246468375865E-3</v>
      </c>
      <c r="E26" s="55">
        <f t="shared" si="0"/>
        <v>2.45599876593908E-3</v>
      </c>
      <c r="F26" s="55">
        <f t="shared" si="2"/>
        <v>1.0538123412776665E-2</v>
      </c>
      <c r="G26" s="55" t="str">
        <f t="shared" si="1"/>
        <v>-</v>
      </c>
      <c r="H26" s="55" t="str">
        <f t="shared" si="1"/>
        <v>-</v>
      </c>
      <c r="I26" s="55">
        <f t="shared" si="1"/>
        <v>8.0821246468375848E-3</v>
      </c>
      <c r="J26" s="55">
        <f t="shared" si="1"/>
        <v>2.45599876593908E-3</v>
      </c>
      <c r="K26" s="55">
        <f t="shared" si="1"/>
        <v>1.0538123412776663E-2</v>
      </c>
      <c r="L26" s="56"/>
      <c r="M26" s="56"/>
      <c r="N26" s="56">
        <v>570672</v>
      </c>
      <c r="O26" s="56">
        <v>173416</v>
      </c>
      <c r="P26" s="56">
        <f>L26+M26+N26+O26</f>
        <v>744088</v>
      </c>
      <c r="Q26" s="57" t="str">
        <f t="shared" si="4"/>
        <v>0</v>
      </c>
      <c r="R26" s="57" t="str">
        <f t="shared" si="4"/>
        <v>0</v>
      </c>
      <c r="S26" s="57">
        <f t="shared" si="4"/>
        <v>882.08709677419347</v>
      </c>
      <c r="T26" s="57">
        <f t="shared" si="4"/>
        <v>268.04892473118281</v>
      </c>
      <c r="U26" s="57">
        <f t="shared" si="5"/>
        <v>1150.1360215053762</v>
      </c>
      <c r="V26" s="44">
        <f t="shared" si="6"/>
        <v>19</v>
      </c>
    </row>
    <row r="27" spans="1:22" x14ac:dyDescent="0.25">
      <c r="A27" s="54" t="s">
        <v>13</v>
      </c>
      <c r="B27" s="55">
        <f t="shared" si="0"/>
        <v>9.2844191481342726E-3</v>
      </c>
      <c r="C27" s="55" t="str">
        <f t="shared" si="0"/>
        <v>-</v>
      </c>
      <c r="D27" s="55">
        <f t="shared" si="0"/>
        <v>2.9998375848027414E-3</v>
      </c>
      <c r="E27" s="55">
        <f t="shared" si="0"/>
        <v>5.3731416928422147E-3</v>
      </c>
      <c r="F27" s="55">
        <f t="shared" si="2"/>
        <v>1.7657398425779229E-2</v>
      </c>
      <c r="G27" s="55">
        <f t="shared" si="1"/>
        <v>9.2844191481342708E-3</v>
      </c>
      <c r="H27" s="55" t="str">
        <f t="shared" si="1"/>
        <v>-</v>
      </c>
      <c r="I27" s="55">
        <f t="shared" si="1"/>
        <v>2.9998375848027409E-3</v>
      </c>
      <c r="J27" s="55">
        <f t="shared" si="1"/>
        <v>5.373141692842213E-3</v>
      </c>
      <c r="K27" s="55">
        <f t="shared" si="1"/>
        <v>1.7657398425779222E-2</v>
      </c>
      <c r="L27" s="56">
        <v>655565</v>
      </c>
      <c r="M27" s="56"/>
      <c r="N27" s="56">
        <v>211816</v>
      </c>
      <c r="O27" s="56">
        <v>379393</v>
      </c>
      <c r="P27" s="56">
        <f>L27+M27+N27+O27</f>
        <v>1246774</v>
      </c>
      <c r="Q27" s="57">
        <f t="shared" si="4"/>
        <v>1013.3061155913978</v>
      </c>
      <c r="R27" s="57" t="str">
        <f t="shared" si="4"/>
        <v>0</v>
      </c>
      <c r="S27" s="57">
        <f t="shared" si="4"/>
        <v>327.40376344086019</v>
      </c>
      <c r="T27" s="57">
        <f t="shared" si="4"/>
        <v>586.42735215053756</v>
      </c>
      <c r="U27" s="57">
        <f t="shared" si="5"/>
        <v>1927.1372311827954</v>
      </c>
      <c r="V27" s="44">
        <f t="shared" si="6"/>
        <v>20</v>
      </c>
    </row>
    <row r="28" spans="1:22" x14ac:dyDescent="0.25">
      <c r="A28" s="54" t="s">
        <v>14</v>
      </c>
      <c r="B28" s="55" t="str">
        <f t="shared" si="0"/>
        <v>-</v>
      </c>
      <c r="C28" s="55" t="str">
        <f t="shared" si="0"/>
        <v>-</v>
      </c>
      <c r="D28" s="55">
        <f t="shared" si="0"/>
        <v>1.1990215546550366E-2</v>
      </c>
      <c r="E28" s="55">
        <f t="shared" si="0"/>
        <v>1.1883175604025064E-2</v>
      </c>
      <c r="F28" s="55">
        <f t="shared" si="2"/>
        <v>2.3873391150575431E-2</v>
      </c>
      <c r="G28" s="55" t="str">
        <f t="shared" si="1"/>
        <v>-</v>
      </c>
      <c r="H28" s="55" t="str">
        <f t="shared" si="1"/>
        <v>-</v>
      </c>
      <c r="I28" s="55">
        <f t="shared" si="1"/>
        <v>1.1990215546550363E-2</v>
      </c>
      <c r="J28" s="55">
        <f t="shared" si="1"/>
        <v>1.1883175604025062E-2</v>
      </c>
      <c r="K28" s="55">
        <f t="shared" si="1"/>
        <v>2.3873391150575424E-2</v>
      </c>
      <c r="L28" s="56"/>
      <c r="M28" s="56"/>
      <c r="N28" s="56">
        <v>846619</v>
      </c>
      <c r="O28" s="56">
        <v>839061</v>
      </c>
      <c r="P28" s="56">
        <f>L28+M28+N28+O28</f>
        <v>1685680</v>
      </c>
      <c r="Q28" s="57" t="str">
        <f t="shared" si="4"/>
        <v>0</v>
      </c>
      <c r="R28" s="57" t="str">
        <f t="shared" si="4"/>
        <v>0</v>
      </c>
      <c r="S28" s="57">
        <f t="shared" si="4"/>
        <v>1308.6180779569891</v>
      </c>
      <c r="T28" s="57">
        <f t="shared" si="4"/>
        <v>1296.9356854838709</v>
      </c>
      <c r="U28" s="57">
        <f t="shared" si="5"/>
        <v>2605.5537634408602</v>
      </c>
      <c r="V28" s="44">
        <f t="shared" si="6"/>
        <v>21</v>
      </c>
    </row>
    <row r="29" spans="1:22" x14ac:dyDescent="0.25">
      <c r="A29" s="54" t="s">
        <v>15</v>
      </c>
      <c r="B29" s="55" t="str">
        <f t="shared" si="0"/>
        <v>-</v>
      </c>
      <c r="C29" s="55" t="str">
        <f t="shared" si="0"/>
        <v>-</v>
      </c>
      <c r="D29" s="55">
        <f t="shared" si="0"/>
        <v>4.5285203522330729E-3</v>
      </c>
      <c r="E29" s="55">
        <f t="shared" si="0"/>
        <v>6.7901533903053594E-3</v>
      </c>
      <c r="F29" s="55">
        <f t="shared" si="2"/>
        <v>1.1318673742538433E-2</v>
      </c>
      <c r="G29" s="55" t="str">
        <f t="shared" si="1"/>
        <v>-</v>
      </c>
      <c r="H29" s="55" t="str">
        <f t="shared" si="1"/>
        <v>-</v>
      </c>
      <c r="I29" s="55">
        <f t="shared" si="1"/>
        <v>4.528520352233072E-3</v>
      </c>
      <c r="J29" s="55">
        <f t="shared" si="1"/>
        <v>6.7901533903053568E-3</v>
      </c>
      <c r="K29" s="55">
        <f t="shared" si="1"/>
        <v>1.1318673742538428E-2</v>
      </c>
      <c r="L29" s="56"/>
      <c r="M29" s="56"/>
      <c r="N29" s="56">
        <v>319755</v>
      </c>
      <c r="O29" s="56">
        <v>479447</v>
      </c>
      <c r="P29" s="56">
        <f>L29+M29+N29+O29</f>
        <v>799202</v>
      </c>
      <c r="Q29" s="57" t="str">
        <f t="shared" si="4"/>
        <v>0</v>
      </c>
      <c r="R29" s="57" t="str">
        <f t="shared" si="4"/>
        <v>0</v>
      </c>
      <c r="S29" s="57">
        <f t="shared" si="4"/>
        <v>494.24495967741927</v>
      </c>
      <c r="T29" s="57">
        <f t="shared" si="4"/>
        <v>741.08071236559124</v>
      </c>
      <c r="U29" s="57">
        <f t="shared" si="5"/>
        <v>1235.3256720430104</v>
      </c>
      <c r="V29" s="44">
        <f t="shared" si="6"/>
        <v>22</v>
      </c>
    </row>
    <row r="30" spans="1:22" x14ac:dyDescent="0.25">
      <c r="A30" s="54" t="s">
        <v>16</v>
      </c>
      <c r="B30" s="55">
        <f t="shared" si="0"/>
        <v>9.9115049611979492E-3</v>
      </c>
      <c r="C30" s="55" t="str">
        <f t="shared" si="0"/>
        <v>-</v>
      </c>
      <c r="D30" s="55">
        <f t="shared" si="0"/>
        <v>2.4147420767924206E-2</v>
      </c>
      <c r="E30" s="55">
        <f t="shared" si="0"/>
        <v>1.453584858031726E-2</v>
      </c>
      <c r="F30" s="55">
        <f t="shared" si="2"/>
        <v>4.8594774309439419E-2</v>
      </c>
      <c r="G30" s="55">
        <f t="shared" si="1"/>
        <v>9.9115049611979474E-3</v>
      </c>
      <c r="H30" s="55" t="str">
        <f t="shared" si="1"/>
        <v>-</v>
      </c>
      <c r="I30" s="55">
        <f t="shared" si="1"/>
        <v>2.4147420767924199E-2</v>
      </c>
      <c r="J30" s="55">
        <f t="shared" si="1"/>
        <v>1.4535848580317258E-2</v>
      </c>
      <c r="K30" s="55">
        <f t="shared" si="1"/>
        <v>4.8594774309439405E-2</v>
      </c>
      <c r="L30" s="56">
        <v>699843</v>
      </c>
      <c r="M30" s="56"/>
      <c r="N30" s="56">
        <v>1705029</v>
      </c>
      <c r="O30" s="56">
        <v>1026364</v>
      </c>
      <c r="P30" s="56">
        <f>L30+M30+N30+O30</f>
        <v>3431236</v>
      </c>
      <c r="Q30" s="57">
        <f t="shared" si="4"/>
        <v>1081.7465725806451</v>
      </c>
      <c r="R30" s="57" t="str">
        <f t="shared" si="4"/>
        <v>0</v>
      </c>
      <c r="S30" s="57">
        <f t="shared" si="4"/>
        <v>2635.4614919354835</v>
      </c>
      <c r="T30" s="57">
        <f t="shared" si="4"/>
        <v>1586.4497311827956</v>
      </c>
      <c r="U30" s="57">
        <f t="shared" si="5"/>
        <v>5303.657795698924</v>
      </c>
      <c r="V30" s="44">
        <f t="shared" si="6"/>
        <v>23</v>
      </c>
    </row>
    <row r="31" spans="1:22" x14ac:dyDescent="0.25">
      <c r="A31" s="54" t="s">
        <v>49</v>
      </c>
      <c r="B31" s="55" t="str">
        <f t="shared" si="0"/>
        <v>-</v>
      </c>
      <c r="C31" s="55" t="str">
        <f t="shared" si="0"/>
        <v>-</v>
      </c>
      <c r="D31" s="55">
        <f t="shared" si="0"/>
        <v>1.9100780640969564E-3</v>
      </c>
      <c r="E31" s="55">
        <f t="shared" si="0"/>
        <v>3.3567884595589838E-4</v>
      </c>
      <c r="F31" s="55">
        <f t="shared" si="2"/>
        <v>2.2457569100528549E-3</v>
      </c>
      <c r="G31" s="55" t="str">
        <f t="shared" si="1"/>
        <v>-</v>
      </c>
      <c r="H31" s="55" t="str">
        <f t="shared" si="1"/>
        <v>-</v>
      </c>
      <c r="I31" s="55">
        <f t="shared" si="1"/>
        <v>1.9100780640969562E-3</v>
      </c>
      <c r="J31" s="55">
        <f t="shared" si="1"/>
        <v>3.3567884595589833E-4</v>
      </c>
      <c r="K31" s="55">
        <f t="shared" si="1"/>
        <v>2.2457569100528545E-3</v>
      </c>
      <c r="L31" s="56"/>
      <c r="M31" s="56"/>
      <c r="N31" s="56">
        <v>134869</v>
      </c>
      <c r="O31" s="56">
        <v>23702</v>
      </c>
      <c r="P31" s="56">
        <f>N31+O31</f>
        <v>158571</v>
      </c>
      <c r="Q31" s="57" t="str">
        <f t="shared" si="4"/>
        <v>0</v>
      </c>
      <c r="R31" s="57" t="str">
        <f t="shared" si="4"/>
        <v>0</v>
      </c>
      <c r="S31" s="57">
        <f t="shared" si="4"/>
        <v>208.46686827956989</v>
      </c>
      <c r="T31" s="57">
        <f t="shared" si="4"/>
        <v>36.636155913978492</v>
      </c>
      <c r="U31" s="57">
        <f t="shared" si="5"/>
        <v>245.10302419354838</v>
      </c>
      <c r="V31" s="44">
        <f t="shared" si="6"/>
        <v>24</v>
      </c>
    </row>
    <row r="32" spans="1:22" x14ac:dyDescent="0.25">
      <c r="A32" s="54" t="s">
        <v>48</v>
      </c>
      <c r="B32" s="55">
        <f t="shared" si="0"/>
        <v>2.6837879212152035E-3</v>
      </c>
      <c r="C32" s="55" t="str">
        <f t="shared" si="0"/>
        <v>-</v>
      </c>
      <c r="D32" s="55">
        <f t="shared" si="0"/>
        <v>1.0257026723276511E-3</v>
      </c>
      <c r="E32" s="55">
        <f t="shared" si="0"/>
        <v>8.0941344207541581E-4</v>
      </c>
      <c r="F32" s="55">
        <f t="shared" si="2"/>
        <v>4.5189040356182703E-3</v>
      </c>
      <c r="G32" s="55">
        <f t="shared" si="1"/>
        <v>2.6837879212152026E-3</v>
      </c>
      <c r="H32" s="55" t="str">
        <f t="shared" si="1"/>
        <v>-</v>
      </c>
      <c r="I32" s="55">
        <f t="shared" si="1"/>
        <v>1.0257026723276509E-3</v>
      </c>
      <c r="J32" s="55">
        <f t="shared" si="1"/>
        <v>8.0941344207541559E-4</v>
      </c>
      <c r="K32" s="55">
        <f t="shared" si="1"/>
        <v>4.5189040356182694E-3</v>
      </c>
      <c r="L32" s="56">
        <v>189500</v>
      </c>
      <c r="M32" s="56"/>
      <c r="N32" s="56">
        <v>72424</v>
      </c>
      <c r="O32" s="56">
        <v>57152</v>
      </c>
      <c r="P32" s="56">
        <f t="shared" ref="P32" si="8">SUM(L32:O32)</f>
        <v>319076</v>
      </c>
      <c r="Q32" s="57">
        <f t="shared" si="4"/>
        <v>292.90994623655911</v>
      </c>
      <c r="R32" s="57" t="str">
        <f t="shared" si="4"/>
        <v>0</v>
      </c>
      <c r="S32" s="57">
        <f t="shared" si="4"/>
        <v>111.94569892473118</v>
      </c>
      <c r="T32" s="57">
        <f t="shared" si="4"/>
        <v>88.339784946236549</v>
      </c>
      <c r="U32" s="57">
        <f t="shared" si="5"/>
        <v>493.19543010752682</v>
      </c>
      <c r="V32" s="44">
        <f t="shared" si="6"/>
        <v>25</v>
      </c>
    </row>
    <row r="33" spans="1:23" x14ac:dyDescent="0.25">
      <c r="A33" s="54" t="s">
        <v>47</v>
      </c>
      <c r="B33" s="55" t="str">
        <f t="shared" si="0"/>
        <v>-</v>
      </c>
      <c r="C33" s="55" t="str">
        <f t="shared" si="0"/>
        <v>-</v>
      </c>
      <c r="D33" s="55">
        <f t="shared" si="0"/>
        <v>2.7457628866148745E-3</v>
      </c>
      <c r="E33" s="55">
        <f t="shared" si="0"/>
        <v>4.107540954037179E-4</v>
      </c>
      <c r="F33" s="55">
        <f t="shared" si="2"/>
        <v>3.1565169820185926E-3</v>
      </c>
      <c r="G33" s="55" t="str">
        <f t="shared" si="1"/>
        <v>-</v>
      </c>
      <c r="H33" s="55" t="str">
        <f t="shared" si="1"/>
        <v>-</v>
      </c>
      <c r="I33" s="55">
        <f t="shared" si="1"/>
        <v>2.7457628866148741E-3</v>
      </c>
      <c r="J33" s="55">
        <f t="shared" si="1"/>
        <v>4.1075409540371785E-4</v>
      </c>
      <c r="K33" s="55">
        <f t="shared" si="1"/>
        <v>3.1565169820185917E-3</v>
      </c>
      <c r="L33" s="56"/>
      <c r="M33" s="56"/>
      <c r="N33" s="56">
        <f>75575+118301</f>
        <v>193876</v>
      </c>
      <c r="O33" s="56">
        <v>29003</v>
      </c>
      <c r="P33" s="56">
        <f>N33+O33</f>
        <v>222879</v>
      </c>
      <c r="Q33" s="57" t="str">
        <f t="shared" si="4"/>
        <v>0</v>
      </c>
      <c r="R33" s="57" t="str">
        <f t="shared" si="4"/>
        <v>0</v>
      </c>
      <c r="S33" s="57">
        <f t="shared" si="4"/>
        <v>299.67392473118275</v>
      </c>
      <c r="T33" s="57">
        <f t="shared" si="4"/>
        <v>44.829905913978493</v>
      </c>
      <c r="U33" s="57">
        <f t="shared" si="5"/>
        <v>344.50383064516126</v>
      </c>
      <c r="V33" s="44">
        <f t="shared" si="6"/>
        <v>26</v>
      </c>
      <c r="W33" s="58"/>
    </row>
    <row r="34" spans="1:23" x14ac:dyDescent="0.25">
      <c r="A34" s="54" t="s">
        <v>45</v>
      </c>
      <c r="B34" s="55" t="str">
        <f t="shared" si="0"/>
        <v>-</v>
      </c>
      <c r="C34" s="55" t="str">
        <f t="shared" si="0"/>
        <v>-</v>
      </c>
      <c r="D34" s="55">
        <f t="shared" si="0"/>
        <v>4.5070642113325928E-3</v>
      </c>
      <c r="E34" s="55">
        <f t="shared" si="0"/>
        <v>7.1584342404545946E-3</v>
      </c>
      <c r="F34" s="55">
        <f t="shared" si="2"/>
        <v>1.1665498451787187E-2</v>
      </c>
      <c r="G34" s="55" t="str">
        <f t="shared" si="1"/>
        <v>-</v>
      </c>
      <c r="H34" s="55" t="str">
        <f t="shared" si="1"/>
        <v>-</v>
      </c>
      <c r="I34" s="55">
        <f t="shared" si="1"/>
        <v>4.5070642113325919E-3</v>
      </c>
      <c r="J34" s="55">
        <f t="shared" si="1"/>
        <v>7.1584342404545928E-3</v>
      </c>
      <c r="K34" s="55">
        <f t="shared" si="1"/>
        <v>1.1665498451787184E-2</v>
      </c>
      <c r="L34" s="56"/>
      <c r="M34" s="56"/>
      <c r="N34" s="56">
        <v>318240</v>
      </c>
      <c r="O34" s="56">
        <v>505451</v>
      </c>
      <c r="P34" s="56">
        <f>N34+O34</f>
        <v>823691</v>
      </c>
      <c r="Q34" s="57" t="str">
        <f t="shared" si="4"/>
        <v>0</v>
      </c>
      <c r="R34" s="57" t="str">
        <f t="shared" si="4"/>
        <v>0</v>
      </c>
      <c r="S34" s="57">
        <f t="shared" si="4"/>
        <v>491.90322580645159</v>
      </c>
      <c r="T34" s="57">
        <f t="shared" si="4"/>
        <v>781.27506720430097</v>
      </c>
      <c r="U34" s="57">
        <f t="shared" si="5"/>
        <v>1273.1782930107524</v>
      </c>
      <c r="V34" s="44">
        <f t="shared" si="6"/>
        <v>27</v>
      </c>
    </row>
    <row r="35" spans="1:23" x14ac:dyDescent="0.25">
      <c r="A35" s="54" t="s">
        <v>30</v>
      </c>
      <c r="B35" s="55" t="str">
        <f t="shared" si="0"/>
        <v>-</v>
      </c>
      <c r="C35" s="55" t="str">
        <f t="shared" si="0"/>
        <v>-</v>
      </c>
      <c r="D35" s="55">
        <f t="shared" si="0"/>
        <v>2.3932731896696229E-3</v>
      </c>
      <c r="E35" s="55">
        <f t="shared" si="0"/>
        <v>1.9769249189156147E-3</v>
      </c>
      <c r="F35" s="55">
        <f t="shared" si="2"/>
        <v>4.3701981085852376E-3</v>
      </c>
      <c r="G35" s="55" t="str">
        <f t="shared" si="1"/>
        <v>-</v>
      </c>
      <c r="H35" s="55" t="str">
        <f t="shared" si="1"/>
        <v>-</v>
      </c>
      <c r="I35" s="55">
        <f t="shared" si="1"/>
        <v>2.3932731896696225E-3</v>
      </c>
      <c r="J35" s="55">
        <f t="shared" si="1"/>
        <v>1.9769249189156143E-3</v>
      </c>
      <c r="K35" s="55">
        <f t="shared" si="1"/>
        <v>4.3701981085852368E-3</v>
      </c>
      <c r="L35" s="56"/>
      <c r="M35" s="56"/>
      <c r="N35" s="56">
        <v>168987</v>
      </c>
      <c r="O35" s="56">
        <v>139589</v>
      </c>
      <c r="P35" s="56">
        <f>SUM(L35:O35)</f>
        <v>308576</v>
      </c>
      <c r="Q35" s="57" t="str">
        <f t="shared" si="4"/>
        <v>0</v>
      </c>
      <c r="R35" s="57" t="str">
        <f t="shared" si="4"/>
        <v>0</v>
      </c>
      <c r="S35" s="57">
        <f t="shared" si="4"/>
        <v>261.20302419354834</v>
      </c>
      <c r="T35" s="57">
        <f t="shared" si="4"/>
        <v>215.76256720430106</v>
      </c>
      <c r="U35" s="57">
        <f t="shared" si="5"/>
        <v>476.96559139784938</v>
      </c>
      <c r="V35" s="44">
        <f t="shared" si="6"/>
        <v>28</v>
      </c>
    </row>
    <row r="36" spans="1:23" x14ac:dyDescent="0.25">
      <c r="A36" s="54" t="s">
        <v>50</v>
      </c>
      <c r="B36" s="55">
        <f t="shared" si="0"/>
        <v>2.1998280223035098E-3</v>
      </c>
      <c r="C36" s="55" t="str">
        <f t="shared" si="0"/>
        <v>-</v>
      </c>
      <c r="D36" s="55">
        <f t="shared" si="0"/>
        <v>4.6349654710502418E-3</v>
      </c>
      <c r="E36" s="55">
        <f t="shared" si="0"/>
        <v>8.8260508311415028E-4</v>
      </c>
      <c r="F36" s="55">
        <f t="shared" si="2"/>
        <v>7.7173985764679015E-3</v>
      </c>
      <c r="G36" s="55">
        <f t="shared" si="1"/>
        <v>2.1998280223035093E-3</v>
      </c>
      <c r="H36" s="55" t="str">
        <f t="shared" si="1"/>
        <v>-</v>
      </c>
      <c r="I36" s="55">
        <f t="shared" si="1"/>
        <v>4.6349654710502409E-3</v>
      </c>
      <c r="J36" s="55">
        <f t="shared" si="1"/>
        <v>8.8260508311415007E-4</v>
      </c>
      <c r="K36" s="55">
        <f t="shared" si="1"/>
        <v>7.7173985764679006E-3</v>
      </c>
      <c r="L36" s="56">
        <v>155328</v>
      </c>
      <c r="M36" s="56"/>
      <c r="N36" s="56">
        <v>327271</v>
      </c>
      <c r="O36" s="56">
        <v>62320</v>
      </c>
      <c r="P36" s="56">
        <f>L36+M36+N36+O36</f>
        <v>544919</v>
      </c>
      <c r="Q36" s="57">
        <f t="shared" si="4"/>
        <v>240.09032258064514</v>
      </c>
      <c r="R36" s="57" t="str">
        <f t="shared" si="4"/>
        <v>0</v>
      </c>
      <c r="S36" s="57">
        <f t="shared" si="4"/>
        <v>505.86243279569891</v>
      </c>
      <c r="T36" s="57">
        <f t="shared" si="4"/>
        <v>96.327956989247312</v>
      </c>
      <c r="U36" s="57">
        <f t="shared" si="5"/>
        <v>842.2807123655914</v>
      </c>
      <c r="V36" s="44">
        <f t="shared" si="6"/>
        <v>29</v>
      </c>
    </row>
    <row r="37" spans="1:23" x14ac:dyDescent="0.25">
      <c r="A37" s="54" t="s">
        <v>17</v>
      </c>
      <c r="B37" s="55" t="str">
        <f t="shared" si="0"/>
        <v>-</v>
      </c>
      <c r="C37" s="55" t="str">
        <f t="shared" si="0"/>
        <v>-</v>
      </c>
      <c r="D37" s="55">
        <f t="shared" si="0"/>
        <v>2.3561462765537094E-2</v>
      </c>
      <c r="E37" s="55">
        <f t="shared" si="0"/>
        <v>1.4639135468493632E-2</v>
      </c>
      <c r="F37" s="55">
        <f t="shared" si="2"/>
        <v>3.8200598234030728E-2</v>
      </c>
      <c r="G37" s="55" t="str">
        <f t="shared" si="1"/>
        <v>-</v>
      </c>
      <c r="H37" s="55" t="str">
        <f t="shared" si="1"/>
        <v>-</v>
      </c>
      <c r="I37" s="55">
        <f t="shared" si="1"/>
        <v>2.3561462765537087E-2</v>
      </c>
      <c r="J37" s="55">
        <f t="shared" si="1"/>
        <v>1.463913546849363E-2</v>
      </c>
      <c r="K37" s="55">
        <f t="shared" si="1"/>
        <v>3.8200598234030721E-2</v>
      </c>
      <c r="L37" s="56"/>
      <c r="M37" s="56"/>
      <c r="N37" s="56">
        <v>1663655</v>
      </c>
      <c r="O37" s="56">
        <v>1033657</v>
      </c>
      <c r="P37" s="56">
        <f>L37+M37+N37+O37</f>
        <v>2697312</v>
      </c>
      <c r="Q37" s="57" t="str">
        <f t="shared" si="4"/>
        <v>0</v>
      </c>
      <c r="R37" s="57" t="str">
        <f t="shared" si="4"/>
        <v>0</v>
      </c>
      <c r="S37" s="57">
        <f t="shared" si="4"/>
        <v>2571.5097446236555</v>
      </c>
      <c r="T37" s="57">
        <f t="shared" si="4"/>
        <v>1597.7225134408602</v>
      </c>
      <c r="U37" s="57">
        <f t="shared" si="5"/>
        <v>4169.2322580645159</v>
      </c>
      <c r="V37" s="44">
        <f t="shared" si="6"/>
        <v>30</v>
      </c>
    </row>
    <row r="38" spans="1:23" x14ac:dyDescent="0.25">
      <c r="A38" s="54" t="s">
        <v>18</v>
      </c>
      <c r="B38" s="55">
        <f t="shared" si="0"/>
        <v>4.6953400774256528E-3</v>
      </c>
      <c r="C38" s="55" t="str">
        <f t="shared" si="0"/>
        <v>-</v>
      </c>
      <c r="D38" s="55">
        <f t="shared" si="0"/>
        <v>5.3939222839598878E-2</v>
      </c>
      <c r="E38" s="55">
        <f t="shared" si="0"/>
        <v>2.3066031266539992E-2</v>
      </c>
      <c r="F38" s="55">
        <f t="shared" si="2"/>
        <v>8.1700594183564526E-2</v>
      </c>
      <c r="G38" s="55">
        <f t="shared" si="1"/>
        <v>4.6953400774256519E-3</v>
      </c>
      <c r="H38" s="55" t="str">
        <f t="shared" si="1"/>
        <v>-</v>
      </c>
      <c r="I38" s="55">
        <f t="shared" si="1"/>
        <v>5.3939222839598858E-2</v>
      </c>
      <c r="J38" s="55">
        <f t="shared" si="1"/>
        <v>2.3066031266539989E-2</v>
      </c>
      <c r="K38" s="55">
        <f t="shared" si="1"/>
        <v>8.1700594183564498E-2</v>
      </c>
      <c r="L38" s="56">
        <v>331534</v>
      </c>
      <c r="M38" s="56"/>
      <c r="N38" s="56">
        <v>3808603</v>
      </c>
      <c r="O38" s="56">
        <v>1628673</v>
      </c>
      <c r="P38" s="56">
        <f>SUM(L38:O38)</f>
        <v>5768810</v>
      </c>
      <c r="Q38" s="57">
        <f t="shared" si="4"/>
        <v>512.45174731182794</v>
      </c>
      <c r="R38" s="57" t="str">
        <f t="shared" si="4"/>
        <v>0</v>
      </c>
      <c r="S38" s="57">
        <f t="shared" si="4"/>
        <v>5886.953561827956</v>
      </c>
      <c r="T38" s="57">
        <f t="shared" si="4"/>
        <v>2517.4381048387095</v>
      </c>
      <c r="U38" s="57">
        <f t="shared" si="5"/>
        <v>8916.8434139784931</v>
      </c>
      <c r="V38" s="44">
        <f t="shared" si="6"/>
        <v>31</v>
      </c>
    </row>
    <row r="39" spans="1:23" x14ac:dyDescent="0.25">
      <c r="A39" s="54" t="s">
        <v>19</v>
      </c>
      <c r="B39" s="55" t="str">
        <f t="shared" si="0"/>
        <v>-</v>
      </c>
      <c r="C39" s="55" t="str">
        <f t="shared" si="0"/>
        <v>-</v>
      </c>
      <c r="D39" s="55">
        <f t="shared" si="0"/>
        <v>2.1624815909143569E-3</v>
      </c>
      <c r="E39" s="55">
        <f t="shared" si="0"/>
        <v>1.8302583874533211E-3</v>
      </c>
      <c r="F39" s="55">
        <f t="shared" si="2"/>
        <v>3.992739978367678E-3</v>
      </c>
      <c r="G39" s="55" t="str">
        <f t="shared" si="1"/>
        <v>-</v>
      </c>
      <c r="H39" s="55" t="str">
        <f t="shared" si="1"/>
        <v>-</v>
      </c>
      <c r="I39" s="55">
        <f t="shared" si="1"/>
        <v>2.162481590914356E-3</v>
      </c>
      <c r="J39" s="55">
        <f t="shared" si="1"/>
        <v>1.8302583874533207E-3</v>
      </c>
      <c r="K39" s="55">
        <f t="shared" si="1"/>
        <v>3.9927399783676772E-3</v>
      </c>
      <c r="L39" s="56"/>
      <c r="M39" s="56"/>
      <c r="N39" s="56">
        <v>152691</v>
      </c>
      <c r="O39" s="56">
        <v>129233</v>
      </c>
      <c r="P39" s="56">
        <f>SUM(L39:O39)</f>
        <v>281924</v>
      </c>
      <c r="Q39" s="57" t="str">
        <f t="shared" si="4"/>
        <v>0</v>
      </c>
      <c r="R39" s="57" t="str">
        <f t="shared" si="4"/>
        <v>0</v>
      </c>
      <c r="S39" s="57">
        <f t="shared" si="4"/>
        <v>236.01431451612899</v>
      </c>
      <c r="T39" s="57">
        <f t="shared" si="4"/>
        <v>199.75530913978491</v>
      </c>
      <c r="U39" s="57">
        <f t="shared" si="5"/>
        <v>435.7696236559139</v>
      </c>
      <c r="V39" s="44">
        <f t="shared" si="6"/>
        <v>32</v>
      </c>
    </row>
    <row r="40" spans="1:23" x14ac:dyDescent="0.25">
      <c r="A40" s="54" t="s">
        <v>20</v>
      </c>
      <c r="B40" s="55">
        <f t="shared" si="0"/>
        <v>4.3682861752376706E-3</v>
      </c>
      <c r="C40" s="55" t="str">
        <f t="shared" si="0"/>
        <v>-</v>
      </c>
      <c r="D40" s="55">
        <f t="shared" si="0"/>
        <v>1.3601805408918923E-2</v>
      </c>
      <c r="E40" s="55" t="str">
        <f t="shared" si="0"/>
        <v>-</v>
      </c>
      <c r="F40" s="55">
        <f t="shared" si="2"/>
        <v>1.7970091584156592E-2</v>
      </c>
      <c r="G40" s="55">
        <f t="shared" si="1"/>
        <v>4.3682861752376697E-3</v>
      </c>
      <c r="H40" s="55" t="str">
        <f t="shared" si="1"/>
        <v>-</v>
      </c>
      <c r="I40" s="55">
        <f t="shared" si="1"/>
        <v>1.3601805408918921E-2</v>
      </c>
      <c r="J40" s="55" t="str">
        <f t="shared" si="1"/>
        <v>-</v>
      </c>
      <c r="K40" s="55">
        <f t="shared" si="1"/>
        <v>1.7970091584156592E-2</v>
      </c>
      <c r="L40" s="56">
        <v>308441</v>
      </c>
      <c r="M40" s="56"/>
      <c r="N40" s="56">
        <v>960412</v>
      </c>
      <c r="O40" s="56"/>
      <c r="P40" s="56">
        <f t="shared" ref="P40:P49" si="9">L40+M40+N40+O40</f>
        <v>1268853</v>
      </c>
      <c r="Q40" s="57">
        <f t="shared" si="4"/>
        <v>476.75692204301072</v>
      </c>
      <c r="R40" s="57" t="str">
        <f t="shared" si="4"/>
        <v>0</v>
      </c>
      <c r="S40" s="57">
        <f t="shared" si="4"/>
        <v>1484.5077956989248</v>
      </c>
      <c r="T40" s="57" t="str">
        <f t="shared" si="4"/>
        <v>0</v>
      </c>
      <c r="U40" s="57">
        <f t="shared" si="5"/>
        <v>1961.2647177419356</v>
      </c>
      <c r="V40" s="44">
        <f t="shared" si="6"/>
        <v>33</v>
      </c>
    </row>
    <row r="41" spans="1:23" x14ac:dyDescent="0.25">
      <c r="A41" s="54" t="s">
        <v>21</v>
      </c>
      <c r="B41" s="55">
        <f t="shared" si="0"/>
        <v>2.0784995645607207E-2</v>
      </c>
      <c r="C41" s="55">
        <f t="shared" si="0"/>
        <v>2.8895119494134727E-3</v>
      </c>
      <c r="D41" s="55">
        <f t="shared" si="0"/>
        <v>3.5279985502163484E-2</v>
      </c>
      <c r="E41" s="55">
        <f t="shared" si="0"/>
        <v>8.419474664163951E-3</v>
      </c>
      <c r="F41" s="55">
        <f t="shared" si="2"/>
        <v>6.7373967761348116E-2</v>
      </c>
      <c r="G41" s="55">
        <f t="shared" si="1"/>
        <v>2.0784995645607204E-2</v>
      </c>
      <c r="H41" s="55">
        <f t="shared" si="1"/>
        <v>2.8895119494134723E-3</v>
      </c>
      <c r="I41" s="55">
        <f t="shared" si="1"/>
        <v>3.5279985502163477E-2</v>
      </c>
      <c r="J41" s="55">
        <f t="shared" si="1"/>
        <v>8.4194746641639475E-3</v>
      </c>
      <c r="K41" s="55">
        <f t="shared" si="1"/>
        <v>6.7373967761348103E-2</v>
      </c>
      <c r="L41" s="56">
        <v>1467611</v>
      </c>
      <c r="M41" s="56">
        <v>204026</v>
      </c>
      <c r="N41" s="56">
        <v>2491090</v>
      </c>
      <c r="O41" s="56">
        <v>594492</v>
      </c>
      <c r="P41" s="56">
        <f t="shared" si="9"/>
        <v>4757219</v>
      </c>
      <c r="Q41" s="57">
        <f t="shared" si="4"/>
        <v>2268.4847446236558</v>
      </c>
      <c r="R41" s="57">
        <f t="shared" si="4"/>
        <v>315.36276881720431</v>
      </c>
      <c r="S41" s="57">
        <f t="shared" si="4"/>
        <v>3850.4751344086017</v>
      </c>
      <c r="T41" s="57">
        <f t="shared" si="4"/>
        <v>918.90564516129018</v>
      </c>
      <c r="U41" s="57">
        <f t="shared" si="5"/>
        <v>7353.2282930107522</v>
      </c>
      <c r="V41" s="44">
        <f t="shared" si="6"/>
        <v>34</v>
      </c>
    </row>
    <row r="42" spans="1:23" x14ac:dyDescent="0.25">
      <c r="A42" s="54" t="s">
        <v>22</v>
      </c>
      <c r="B42" s="55" t="str">
        <f t="shared" si="0"/>
        <v>-</v>
      </c>
      <c r="C42" s="55" t="str">
        <f t="shared" si="0"/>
        <v>-</v>
      </c>
      <c r="D42" s="55">
        <f t="shared" si="0"/>
        <v>1.2608124079545717E-2</v>
      </c>
      <c r="E42" s="55">
        <f t="shared" si="0"/>
        <v>1.4449641630045825E-2</v>
      </c>
      <c r="F42" s="55">
        <f t="shared" si="2"/>
        <v>2.7057765709591543E-2</v>
      </c>
      <c r="G42" s="55" t="str">
        <f t="shared" si="1"/>
        <v>-</v>
      </c>
      <c r="H42" s="55" t="str">
        <f t="shared" si="1"/>
        <v>-</v>
      </c>
      <c r="I42" s="55">
        <f t="shared" si="1"/>
        <v>1.2608124079545716E-2</v>
      </c>
      <c r="J42" s="55">
        <f t="shared" si="1"/>
        <v>1.4449641630045822E-2</v>
      </c>
      <c r="K42" s="55">
        <f t="shared" si="1"/>
        <v>2.7057765709591536E-2</v>
      </c>
      <c r="L42" s="56"/>
      <c r="M42" s="56"/>
      <c r="N42" s="1">
        <v>890249</v>
      </c>
      <c r="O42" s="1">
        <v>1020277</v>
      </c>
      <c r="P42" s="56">
        <f t="shared" si="9"/>
        <v>1910526</v>
      </c>
      <c r="Q42" s="57" t="str">
        <f t="shared" si="4"/>
        <v>0</v>
      </c>
      <c r="R42" s="57" t="str">
        <f t="shared" si="4"/>
        <v>0</v>
      </c>
      <c r="S42" s="57">
        <f t="shared" si="4"/>
        <v>1376.0569220430107</v>
      </c>
      <c r="T42" s="57">
        <f t="shared" si="4"/>
        <v>1577.0410618279568</v>
      </c>
      <c r="U42" s="57">
        <f t="shared" si="5"/>
        <v>2953.0979838709673</v>
      </c>
      <c r="V42" s="44">
        <f t="shared" si="6"/>
        <v>35</v>
      </c>
    </row>
    <row r="43" spans="1:23" x14ac:dyDescent="0.25">
      <c r="A43" s="54" t="s">
        <v>53</v>
      </c>
      <c r="B43" s="55" t="str">
        <f t="shared" si="0"/>
        <v>-</v>
      </c>
      <c r="C43" s="55" t="str">
        <f t="shared" si="0"/>
        <v>-</v>
      </c>
      <c r="D43" s="55">
        <f t="shared" si="0"/>
        <v>3.9977110050713532E-3</v>
      </c>
      <c r="E43" s="55">
        <f t="shared" si="0"/>
        <v>4.8551210554053361E-3</v>
      </c>
      <c r="F43" s="55">
        <f t="shared" si="2"/>
        <v>8.8528320604766893E-3</v>
      </c>
      <c r="G43" s="55" t="str">
        <f t="shared" si="1"/>
        <v>-</v>
      </c>
      <c r="H43" s="55" t="str">
        <f t="shared" si="1"/>
        <v>-</v>
      </c>
      <c r="I43" s="55">
        <f t="shared" si="1"/>
        <v>3.9977110050713523E-3</v>
      </c>
      <c r="J43" s="55">
        <f t="shared" si="1"/>
        <v>4.8551210554053353E-3</v>
      </c>
      <c r="K43" s="55">
        <f t="shared" si="1"/>
        <v>8.8528320604766876E-3</v>
      </c>
      <c r="L43" s="56"/>
      <c r="M43" s="56"/>
      <c r="N43" s="56">
        <v>282275</v>
      </c>
      <c r="O43" s="56">
        <v>342816</v>
      </c>
      <c r="P43" s="56">
        <f t="shared" si="9"/>
        <v>625091</v>
      </c>
      <c r="Q43" s="57" t="str">
        <f t="shared" si="4"/>
        <v>0</v>
      </c>
      <c r="R43" s="57" t="str">
        <f t="shared" si="4"/>
        <v>0</v>
      </c>
      <c r="S43" s="57">
        <f t="shared" si="4"/>
        <v>436.31216397849454</v>
      </c>
      <c r="T43" s="57">
        <f t="shared" si="4"/>
        <v>529.89032258064515</v>
      </c>
      <c r="U43" s="57">
        <f t="shared" si="5"/>
        <v>966.20248655913974</v>
      </c>
      <c r="V43" s="44">
        <f t="shared" si="6"/>
        <v>36</v>
      </c>
    </row>
    <row r="44" spans="1:23" x14ac:dyDescent="0.25">
      <c r="A44" s="54" t="s">
        <v>23</v>
      </c>
      <c r="B44" s="55" t="str">
        <f t="shared" si="0"/>
        <v>-</v>
      </c>
      <c r="C44" s="55" t="str">
        <f t="shared" si="0"/>
        <v>-</v>
      </c>
      <c r="D44" s="55">
        <f t="shared" si="0"/>
        <v>6.3330880204827827E-3</v>
      </c>
      <c r="E44" s="55">
        <f t="shared" si="0"/>
        <v>3.3738259100561971E-3</v>
      </c>
      <c r="F44" s="55">
        <f t="shared" si="2"/>
        <v>9.7069139305389802E-3</v>
      </c>
      <c r="G44" s="55" t="str">
        <f t="shared" si="1"/>
        <v>-</v>
      </c>
      <c r="H44" s="55" t="str">
        <f t="shared" si="1"/>
        <v>-</v>
      </c>
      <c r="I44" s="55">
        <f t="shared" si="1"/>
        <v>6.333088020482781E-3</v>
      </c>
      <c r="J44" s="55">
        <f t="shared" si="1"/>
        <v>3.3738259100561962E-3</v>
      </c>
      <c r="K44" s="55">
        <f t="shared" si="1"/>
        <v>9.7069139305389768E-3</v>
      </c>
      <c r="L44" s="56"/>
      <c r="M44" s="56"/>
      <c r="N44" s="56">
        <f>7331+236619+12660+8120+182444</f>
        <v>447174</v>
      </c>
      <c r="O44" s="56">
        <f>7320+75506+85995+69402</f>
        <v>238223</v>
      </c>
      <c r="P44" s="56">
        <f t="shared" si="9"/>
        <v>685397</v>
      </c>
      <c r="Q44" s="57" t="str">
        <f t="shared" si="4"/>
        <v>0</v>
      </c>
      <c r="R44" s="57" t="str">
        <f t="shared" si="4"/>
        <v>0</v>
      </c>
      <c r="S44" s="57">
        <f t="shared" si="4"/>
        <v>691.19637096774181</v>
      </c>
      <c r="T44" s="57">
        <f t="shared" si="4"/>
        <v>368.2210349462365</v>
      </c>
      <c r="U44" s="57">
        <f t="shared" si="5"/>
        <v>1059.4174059139782</v>
      </c>
      <c r="V44" s="44">
        <f t="shared" si="6"/>
        <v>37</v>
      </c>
    </row>
    <row r="45" spans="1:23" x14ac:dyDescent="0.25">
      <c r="A45" s="54" t="s">
        <v>24</v>
      </c>
      <c r="B45" s="55">
        <f t="shared" si="0"/>
        <v>5.2711152644283133E-3</v>
      </c>
      <c r="C45" s="55" t="str">
        <f t="shared" si="0"/>
        <v>-</v>
      </c>
      <c r="D45" s="55">
        <f t="shared" si="0"/>
        <v>1.3347404973938508E-2</v>
      </c>
      <c r="E45" s="55">
        <f t="shared" si="0"/>
        <v>3.8642580574111381E-3</v>
      </c>
      <c r="F45" s="55">
        <f t="shared" si="2"/>
        <v>2.248277829577796E-2</v>
      </c>
      <c r="G45" s="55">
        <f t="shared" si="1"/>
        <v>5.2711152644283115E-3</v>
      </c>
      <c r="H45" s="55" t="str">
        <f t="shared" si="1"/>
        <v>-</v>
      </c>
      <c r="I45" s="55">
        <f t="shared" si="1"/>
        <v>1.3347404973938503E-2</v>
      </c>
      <c r="J45" s="55">
        <f t="shared" si="1"/>
        <v>3.8642580574111377E-3</v>
      </c>
      <c r="K45" s="55">
        <f t="shared" si="1"/>
        <v>2.2482778295777953E-2</v>
      </c>
      <c r="L45" s="56">
        <v>372189</v>
      </c>
      <c r="M45" s="56"/>
      <c r="N45" s="56">
        <v>942449</v>
      </c>
      <c r="O45" s="56">
        <v>272852</v>
      </c>
      <c r="P45" s="56">
        <f t="shared" si="9"/>
        <v>1587490</v>
      </c>
      <c r="Q45" s="57">
        <f t="shared" si="4"/>
        <v>575.29213709677413</v>
      </c>
      <c r="R45" s="57" t="str">
        <f t="shared" si="4"/>
        <v>0</v>
      </c>
      <c r="S45" s="57">
        <f t="shared" si="4"/>
        <v>1456.7424059139782</v>
      </c>
      <c r="T45" s="57">
        <f t="shared" si="4"/>
        <v>421.74704301075269</v>
      </c>
      <c r="U45" s="57">
        <f t="shared" si="5"/>
        <v>2453.7815860215051</v>
      </c>
      <c r="V45" s="44">
        <f t="shared" si="6"/>
        <v>38</v>
      </c>
    </row>
    <row r="46" spans="1:23" x14ac:dyDescent="0.25">
      <c r="A46" s="54" t="s">
        <v>56</v>
      </c>
      <c r="B46" s="55">
        <f t="shared" si="0"/>
        <v>3.6703596910293052E-3</v>
      </c>
      <c r="C46" s="55" t="str">
        <f t="shared" si="0"/>
        <v>-</v>
      </c>
      <c r="D46" s="55">
        <f t="shared" si="0"/>
        <v>2.4104111936984491E-2</v>
      </c>
      <c r="E46" s="55">
        <f t="shared" si="0"/>
        <v>1.1527541838908257E-3</v>
      </c>
      <c r="F46" s="55">
        <f t="shared" si="2"/>
        <v>2.8927225811904621E-2</v>
      </c>
      <c r="G46" s="55">
        <f t="shared" si="1"/>
        <v>3.6703596910293043E-3</v>
      </c>
      <c r="H46" s="55" t="str">
        <f t="shared" si="1"/>
        <v>-</v>
      </c>
      <c r="I46" s="55">
        <f t="shared" si="1"/>
        <v>2.4104111936984481E-2</v>
      </c>
      <c r="J46" s="55">
        <f t="shared" si="1"/>
        <v>1.1527541838908255E-3</v>
      </c>
      <c r="K46" s="55">
        <f t="shared" si="1"/>
        <v>2.892722581190461E-2</v>
      </c>
      <c r="L46" s="56">
        <v>259161</v>
      </c>
      <c r="M46" s="56"/>
      <c r="N46" s="56">
        <v>1701971</v>
      </c>
      <c r="O46" s="56">
        <v>81395</v>
      </c>
      <c r="P46" s="56">
        <f t="shared" si="9"/>
        <v>2042527</v>
      </c>
      <c r="Q46" s="57">
        <f t="shared" si="4"/>
        <v>400.58487903225802</v>
      </c>
      <c r="R46" s="57" t="str">
        <f t="shared" si="4"/>
        <v>0</v>
      </c>
      <c r="S46" s="57">
        <f t="shared" si="4"/>
        <v>2630.7347446236554</v>
      </c>
      <c r="T46" s="57">
        <f t="shared" si="4"/>
        <v>125.81216397849462</v>
      </c>
      <c r="U46" s="57">
        <f t="shared" si="5"/>
        <v>3157.1317876344078</v>
      </c>
      <c r="V46" s="44">
        <f t="shared" si="6"/>
        <v>39</v>
      </c>
    </row>
    <row r="47" spans="1:23" x14ac:dyDescent="0.25">
      <c r="A47" s="54" t="s">
        <v>25</v>
      </c>
      <c r="B47" s="55" t="str">
        <f t="shared" si="0"/>
        <v>-</v>
      </c>
      <c r="C47" s="55" t="str">
        <f t="shared" si="0"/>
        <v>-</v>
      </c>
      <c r="D47" s="55">
        <f t="shared" si="0"/>
        <v>6.9087215827930305E-3</v>
      </c>
      <c r="E47" s="55">
        <f t="shared" si="0"/>
        <v>9.216198533799215E-3</v>
      </c>
      <c r="F47" s="55">
        <f t="shared" si="2"/>
        <v>1.6124920116592244E-2</v>
      </c>
      <c r="G47" s="55" t="str">
        <f t="shared" si="1"/>
        <v>-</v>
      </c>
      <c r="H47" s="55" t="str">
        <f t="shared" si="1"/>
        <v>-</v>
      </c>
      <c r="I47" s="55">
        <f t="shared" si="1"/>
        <v>6.9087215827930287E-3</v>
      </c>
      <c r="J47" s="55">
        <f t="shared" si="1"/>
        <v>9.2161985337992115E-3</v>
      </c>
      <c r="K47" s="55">
        <f t="shared" si="1"/>
        <v>1.612492011659224E-2</v>
      </c>
      <c r="L47" s="56"/>
      <c r="M47" s="56"/>
      <c r="N47" s="56">
        <v>487819</v>
      </c>
      <c r="O47" s="56">
        <v>650748</v>
      </c>
      <c r="P47" s="56">
        <f t="shared" ref="P47" si="10">SUM(L47:O47)</f>
        <v>1138567</v>
      </c>
      <c r="Q47" s="57" t="str">
        <f t="shared" si="4"/>
        <v>0</v>
      </c>
      <c r="R47" s="57" t="str">
        <f t="shared" si="4"/>
        <v>0</v>
      </c>
      <c r="S47" s="57">
        <f t="shared" si="4"/>
        <v>754.02130376344076</v>
      </c>
      <c r="T47" s="57">
        <f t="shared" si="4"/>
        <v>1005.8604838709676</v>
      </c>
      <c r="U47" s="57">
        <f t="shared" si="5"/>
        <v>1759.8817876344083</v>
      </c>
      <c r="V47" s="44">
        <f t="shared" si="6"/>
        <v>40</v>
      </c>
    </row>
    <row r="48" spans="1:23" x14ac:dyDescent="0.25">
      <c r="A48" s="54" t="s">
        <v>31</v>
      </c>
      <c r="B48" s="55">
        <f t="shared" si="0"/>
        <v>1.0492732698858488E-2</v>
      </c>
      <c r="C48" s="55" t="str">
        <f t="shared" si="0"/>
        <v>-</v>
      </c>
      <c r="D48" s="55">
        <f t="shared" si="0"/>
        <v>1.2493875440176626E-2</v>
      </c>
      <c r="E48" s="55">
        <f t="shared" si="0"/>
        <v>1.2178349787951013E-2</v>
      </c>
      <c r="F48" s="55">
        <f t="shared" si="2"/>
        <v>3.5164957926986123E-2</v>
      </c>
      <c r="G48" s="55">
        <f t="shared" si="1"/>
        <v>1.0492732698858484E-2</v>
      </c>
      <c r="H48" s="55" t="str">
        <f t="shared" si="1"/>
        <v>-</v>
      </c>
      <c r="I48" s="55">
        <f t="shared" si="1"/>
        <v>1.2493875440176624E-2</v>
      </c>
      <c r="J48" s="55">
        <f t="shared" si="1"/>
        <v>1.217834978795101E-2</v>
      </c>
      <c r="K48" s="55">
        <f t="shared" si="1"/>
        <v>3.5164957926986116E-2</v>
      </c>
      <c r="L48" s="56">
        <f>168693+572190</f>
        <v>740883</v>
      </c>
      <c r="M48" s="56"/>
      <c r="N48" s="56">
        <v>882182</v>
      </c>
      <c r="O48" s="56">
        <v>859903</v>
      </c>
      <c r="P48" s="56">
        <f t="shared" si="9"/>
        <v>2482968</v>
      </c>
      <c r="Q48" s="57">
        <f t="shared" si="4"/>
        <v>1145.1820564516127</v>
      </c>
      <c r="R48" s="57" t="str">
        <f t="shared" si="4"/>
        <v>0</v>
      </c>
      <c r="S48" s="57">
        <f t="shared" si="4"/>
        <v>1363.5877688172043</v>
      </c>
      <c r="T48" s="57">
        <f t="shared" si="4"/>
        <v>1329.1511424731182</v>
      </c>
      <c r="U48" s="57">
        <f t="shared" si="5"/>
        <v>3837.9209677419349</v>
      </c>
      <c r="V48" s="44">
        <f t="shared" si="6"/>
        <v>41</v>
      </c>
    </row>
    <row r="49" spans="1:22" x14ac:dyDescent="0.25">
      <c r="A49" s="54" t="s">
        <v>26</v>
      </c>
      <c r="B49" s="55" t="str">
        <f t="shared" si="0"/>
        <v>-</v>
      </c>
      <c r="C49" s="55" t="str">
        <f t="shared" si="0"/>
        <v>-</v>
      </c>
      <c r="D49" s="55">
        <f t="shared" si="0"/>
        <v>1.5454992834073812E-2</v>
      </c>
      <c r="E49" s="55">
        <f t="shared" si="0"/>
        <v>8.0503723907987233E-3</v>
      </c>
      <c r="F49" s="55">
        <f t="shared" si="2"/>
        <v>2.3505365224872538E-2</v>
      </c>
      <c r="G49" s="55" t="str">
        <f t="shared" si="1"/>
        <v>-</v>
      </c>
      <c r="H49" s="55" t="str">
        <f t="shared" si="1"/>
        <v>-</v>
      </c>
      <c r="I49" s="55">
        <f t="shared" si="1"/>
        <v>1.5454992834073809E-2</v>
      </c>
      <c r="J49" s="55">
        <f t="shared" si="1"/>
        <v>8.0503723907987216E-3</v>
      </c>
      <c r="K49" s="55">
        <f t="shared" si="1"/>
        <v>2.3505365224872531E-2</v>
      </c>
      <c r="L49" s="56"/>
      <c r="M49" s="56"/>
      <c r="N49" s="56">
        <v>1091264</v>
      </c>
      <c r="O49" s="56">
        <v>568430</v>
      </c>
      <c r="P49" s="56">
        <f t="shared" si="9"/>
        <v>1659694</v>
      </c>
      <c r="Q49" s="57" t="str">
        <f t="shared" si="4"/>
        <v>0</v>
      </c>
      <c r="R49" s="57" t="str">
        <f t="shared" si="4"/>
        <v>0</v>
      </c>
      <c r="S49" s="57">
        <f t="shared" si="4"/>
        <v>1686.7655913978492</v>
      </c>
      <c r="T49" s="57">
        <f t="shared" si="4"/>
        <v>878.62163978494618</v>
      </c>
      <c r="U49" s="57">
        <f t="shared" si="5"/>
        <v>2565.3872311827954</v>
      </c>
      <c r="V49" s="44">
        <f t="shared" si="6"/>
        <v>42</v>
      </c>
    </row>
    <row r="50" spans="1:22" x14ac:dyDescent="0.25">
      <c r="A50" s="54" t="s">
        <v>55</v>
      </c>
      <c r="B50" s="55" t="str">
        <f t="shared" si="0"/>
        <v>-</v>
      </c>
      <c r="C50" s="55" t="str">
        <f t="shared" si="0"/>
        <v>-</v>
      </c>
      <c r="D50" s="55">
        <f t="shared" si="0"/>
        <v>6.4273675782217255E-3</v>
      </c>
      <c r="E50" s="55">
        <f t="shared" si="0"/>
        <v>3.6498099481602642E-4</v>
      </c>
      <c r="F50" s="55">
        <f t="shared" si="2"/>
        <v>6.7923485730377519E-3</v>
      </c>
      <c r="G50" s="55" t="str">
        <f t="shared" si="1"/>
        <v>-</v>
      </c>
      <c r="H50" s="55" t="str">
        <f t="shared" si="1"/>
        <v>-</v>
      </c>
      <c r="I50" s="55">
        <f t="shared" si="1"/>
        <v>6.4273675782217238E-3</v>
      </c>
      <c r="J50" s="55">
        <f t="shared" si="1"/>
        <v>3.6498099481602637E-4</v>
      </c>
      <c r="K50" s="55">
        <f t="shared" si="1"/>
        <v>6.7923485730377493E-3</v>
      </c>
      <c r="L50" s="56"/>
      <c r="M50" s="56"/>
      <c r="N50" s="56">
        <v>453831</v>
      </c>
      <c r="O50" s="56">
        <v>25771</v>
      </c>
      <c r="P50" s="56">
        <f t="shared" ref="P50:P51" si="11">SUM(L50:O50)</f>
        <v>479602</v>
      </c>
      <c r="Q50" s="57" t="str">
        <f t="shared" si="4"/>
        <v>0</v>
      </c>
      <c r="R50" s="57" t="str">
        <f t="shared" si="4"/>
        <v>0</v>
      </c>
      <c r="S50" s="57">
        <f t="shared" si="4"/>
        <v>701.48608870967735</v>
      </c>
      <c r="T50" s="57">
        <f t="shared" si="4"/>
        <v>39.834206989247313</v>
      </c>
      <c r="U50" s="57">
        <f t="shared" si="5"/>
        <v>741.32029569892461</v>
      </c>
      <c r="V50" s="44">
        <f t="shared" si="6"/>
        <v>43</v>
      </c>
    </row>
    <row r="51" spans="1:22" x14ac:dyDescent="0.25">
      <c r="A51" s="54" t="s">
        <v>27</v>
      </c>
      <c r="B51" s="55" t="str">
        <f t="shared" si="0"/>
        <v>-</v>
      </c>
      <c r="C51" s="55" t="str">
        <f t="shared" si="0"/>
        <v>-</v>
      </c>
      <c r="D51" s="55">
        <f t="shared" si="0"/>
        <v>5.030296637450248E-3</v>
      </c>
      <c r="E51" s="55">
        <f t="shared" si="0"/>
        <v>4.4794332338429308E-3</v>
      </c>
      <c r="F51" s="55">
        <f t="shared" si="2"/>
        <v>9.5097298712931797E-3</v>
      </c>
      <c r="G51" s="55" t="str">
        <f t="shared" si="1"/>
        <v>-</v>
      </c>
      <c r="H51" s="55" t="str">
        <f t="shared" si="1"/>
        <v>-</v>
      </c>
      <c r="I51" s="55">
        <f t="shared" si="1"/>
        <v>5.0302966374502472E-3</v>
      </c>
      <c r="J51" s="55">
        <f t="shared" si="1"/>
        <v>4.4794332338429299E-3</v>
      </c>
      <c r="K51" s="55">
        <f t="shared" si="1"/>
        <v>9.509729871293178E-3</v>
      </c>
      <c r="L51" s="56"/>
      <c r="M51" s="56"/>
      <c r="N51" s="56">
        <f>7228+[1]декабрь!$N$50</f>
        <v>355185</v>
      </c>
      <c r="O51" s="56">
        <f>60697+[1]декабрь!$O$50</f>
        <v>316289</v>
      </c>
      <c r="P51" s="56">
        <f t="shared" si="11"/>
        <v>671474</v>
      </c>
      <c r="Q51" s="57" t="str">
        <f t="shared" si="4"/>
        <v>0</v>
      </c>
      <c r="R51" s="57" t="str">
        <f t="shared" si="4"/>
        <v>0</v>
      </c>
      <c r="S51" s="57">
        <f t="shared" si="4"/>
        <v>549.00907258064512</v>
      </c>
      <c r="T51" s="57">
        <f t="shared" si="4"/>
        <v>488.88756720430104</v>
      </c>
      <c r="U51" s="57">
        <f t="shared" si="5"/>
        <v>1037.8966397849463</v>
      </c>
      <c r="V51" s="44">
        <f t="shared" si="6"/>
        <v>44</v>
      </c>
    </row>
    <row r="52" spans="1:22" x14ac:dyDescent="0.25">
      <c r="A52" s="54" t="s">
        <v>32</v>
      </c>
      <c r="B52" s="55" t="str">
        <f t="shared" si="0"/>
        <v>-</v>
      </c>
      <c r="C52" s="55" t="str">
        <f t="shared" si="0"/>
        <v>-</v>
      </c>
      <c r="D52" s="55">
        <f t="shared" si="0"/>
        <v>1.7397885339402726E-3</v>
      </c>
      <c r="E52" s="55">
        <f t="shared" si="0"/>
        <v>1.3684485904349288E-3</v>
      </c>
      <c r="F52" s="55">
        <f t="shared" si="2"/>
        <v>3.1082371243752013E-3</v>
      </c>
      <c r="G52" s="55" t="str">
        <f t="shared" si="1"/>
        <v>-</v>
      </c>
      <c r="H52" s="55" t="str">
        <f t="shared" si="1"/>
        <v>-</v>
      </c>
      <c r="I52" s="55">
        <f t="shared" si="1"/>
        <v>1.7397885339402723E-3</v>
      </c>
      <c r="J52" s="55">
        <f t="shared" si="1"/>
        <v>1.3684485904349286E-3</v>
      </c>
      <c r="K52" s="55">
        <f t="shared" si="1"/>
        <v>3.1082371243752005E-3</v>
      </c>
      <c r="L52" s="56"/>
      <c r="M52" s="56"/>
      <c r="N52" s="56">
        <v>122845</v>
      </c>
      <c r="O52" s="56">
        <v>96625</v>
      </c>
      <c r="P52" s="56">
        <f>SUM(L52:O52)</f>
        <v>219470</v>
      </c>
      <c r="Q52" s="57" t="str">
        <f t="shared" si="4"/>
        <v>0</v>
      </c>
      <c r="R52" s="57" t="str">
        <f t="shared" si="4"/>
        <v>0</v>
      </c>
      <c r="S52" s="57">
        <f t="shared" si="4"/>
        <v>189.88138440860214</v>
      </c>
      <c r="T52" s="57">
        <f t="shared" si="4"/>
        <v>149.35315860215053</v>
      </c>
      <c r="U52" s="57">
        <f t="shared" si="5"/>
        <v>339.23454301075265</v>
      </c>
      <c r="V52" s="44">
        <f t="shared" si="6"/>
        <v>45</v>
      </c>
    </row>
    <row r="53" spans="1:22" x14ac:dyDescent="0.25">
      <c r="A53" s="54" t="s">
        <v>28</v>
      </c>
      <c r="B53" s="55" t="str">
        <f t="shared" si="0"/>
        <v>-</v>
      </c>
      <c r="C53" s="55" t="str">
        <f t="shared" si="0"/>
        <v>-</v>
      </c>
      <c r="D53" s="55">
        <f t="shared" si="0"/>
        <v>1.3512185303560348E-2</v>
      </c>
      <c r="E53" s="55">
        <f t="shared" si="0"/>
        <v>7.3971143345772329E-3</v>
      </c>
      <c r="F53" s="55">
        <f t="shared" si="2"/>
        <v>2.090929963813758E-2</v>
      </c>
      <c r="G53" s="55" t="str">
        <f t="shared" si="1"/>
        <v>-</v>
      </c>
      <c r="H53" s="55" t="str">
        <f t="shared" si="1"/>
        <v>-</v>
      </c>
      <c r="I53" s="55">
        <f t="shared" si="1"/>
        <v>1.3512185303560343E-2</v>
      </c>
      <c r="J53" s="55">
        <f t="shared" si="1"/>
        <v>7.3971143345772311E-3</v>
      </c>
      <c r="K53" s="55">
        <f t="shared" si="1"/>
        <v>2.0909299638137577E-2</v>
      </c>
      <c r="L53" s="56"/>
      <c r="M53" s="56"/>
      <c r="N53" s="56">
        <f>328483+100305+177431+347865</f>
        <v>954084</v>
      </c>
      <c r="O53" s="56">
        <v>522304</v>
      </c>
      <c r="P53" s="56">
        <f>SUM(L53:O53)</f>
        <v>1476388</v>
      </c>
      <c r="Q53" s="57" t="str">
        <f t="shared" si="4"/>
        <v>0</v>
      </c>
      <c r="R53" s="57" t="str">
        <f t="shared" si="4"/>
        <v>0</v>
      </c>
      <c r="S53" s="57">
        <f t="shared" si="4"/>
        <v>1474.7266129032255</v>
      </c>
      <c r="T53" s="57">
        <f t="shared" si="4"/>
        <v>807.32473118279563</v>
      </c>
      <c r="U53" s="57">
        <f t="shared" si="5"/>
        <v>2282.0513440860213</v>
      </c>
      <c r="V53" s="44">
        <f t="shared" si="6"/>
        <v>46</v>
      </c>
    </row>
    <row r="54" spans="1:22" x14ac:dyDescent="0.25">
      <c r="A54" s="32" t="s">
        <v>0</v>
      </c>
      <c r="B54" s="55">
        <f t="shared" ref="B54:O54" si="12">SUM(B8:B53)</f>
        <v>0.14484828284875687</v>
      </c>
      <c r="C54" s="55">
        <f t="shared" si="12"/>
        <v>1.3395798131335828E-2</v>
      </c>
      <c r="D54" s="55">
        <f t="shared" si="12"/>
        <v>0.57148611151788875</v>
      </c>
      <c r="E54" s="55">
        <f t="shared" si="12"/>
        <v>0.27026980750201857</v>
      </c>
      <c r="F54" s="55">
        <f t="shared" si="12"/>
        <v>1.0000000000000002</v>
      </c>
      <c r="G54" s="55">
        <f t="shared" si="12"/>
        <v>0.14484828284875684</v>
      </c>
      <c r="H54" s="55">
        <f t="shared" si="12"/>
        <v>1.3395798131335826E-2</v>
      </c>
      <c r="I54" s="55">
        <f t="shared" si="12"/>
        <v>0.57148611151788864</v>
      </c>
      <c r="J54" s="55">
        <f t="shared" si="12"/>
        <v>0.27026980750201857</v>
      </c>
      <c r="K54" s="55">
        <f t="shared" si="12"/>
        <v>1</v>
      </c>
      <c r="L54" s="56">
        <f>SUM(L8:L53)</f>
        <v>10227615</v>
      </c>
      <c r="M54" s="56">
        <f t="shared" si="12"/>
        <v>945866</v>
      </c>
      <c r="N54" s="56">
        <f t="shared" si="12"/>
        <v>40352152</v>
      </c>
      <c r="O54" s="56">
        <f t="shared" si="12"/>
        <v>19083523</v>
      </c>
      <c r="P54" s="56">
        <f>SUM(L54:O54)</f>
        <v>70609156</v>
      </c>
      <c r="Q54" s="57">
        <f>SUM(Q8:Q53)</f>
        <v>15808.813508064517</v>
      </c>
      <c r="R54" s="57">
        <f>SUM(R8:R53)</f>
        <v>1462.0240591397849</v>
      </c>
      <c r="S54" s="57">
        <f>SUM(S8:S53)</f>
        <v>62372.277956989266</v>
      </c>
      <c r="T54" s="57">
        <f>SUM(T8:T53)</f>
        <v>29497.380981182792</v>
      </c>
      <c r="U54" s="57">
        <f>SUM(Q54:T54)</f>
        <v>109140.49650537636</v>
      </c>
    </row>
    <row r="56" spans="1:22" x14ac:dyDescent="0.25">
      <c r="P56" s="58">
        <f>P54+ноябрь!P53+октябрь!P50+'сентябрь '!P49+август!P46+июль!P45+июнь!P41+май!P40+апрель!P40+март!P39+февраль!P38+январь!P34</f>
        <v>546060352.96000004</v>
      </c>
    </row>
    <row r="57" spans="1:22" x14ac:dyDescent="0.25">
      <c r="A57" s="43" t="s">
        <v>46</v>
      </c>
      <c r="B57" s="44" t="s">
        <v>78</v>
      </c>
      <c r="Q57" s="44"/>
      <c r="R57" s="44"/>
      <c r="S57" s="44"/>
      <c r="T57" s="44"/>
      <c r="U57" s="44"/>
    </row>
    <row r="58" spans="1:22" x14ac:dyDescent="0.25">
      <c r="A58" s="43"/>
      <c r="B58" s="44" t="s">
        <v>79</v>
      </c>
      <c r="Q58" s="44"/>
      <c r="R58" s="44"/>
      <c r="S58" s="44"/>
      <c r="T58" s="44"/>
      <c r="U58" s="44"/>
    </row>
    <row r="59" spans="1:22" x14ac:dyDescent="0.25">
      <c r="B59" s="44" t="s">
        <v>101</v>
      </c>
      <c r="Q59" s="44"/>
      <c r="R59" s="44"/>
      <c r="S59" s="44"/>
      <c r="T59" s="44"/>
      <c r="U59" s="44"/>
    </row>
    <row r="60" spans="1:22" x14ac:dyDescent="0.25">
      <c r="B60" s="44" t="s">
        <v>99</v>
      </c>
      <c r="Q60" s="44"/>
      <c r="R60" s="44"/>
      <c r="S60" s="44"/>
      <c r="T60" s="44"/>
      <c r="U60" s="44"/>
    </row>
    <row r="61" spans="1:22" x14ac:dyDescent="0.25">
      <c r="Q61" s="44"/>
      <c r="R61" s="44"/>
      <c r="S61" s="44"/>
      <c r="T61" s="44"/>
      <c r="U61" s="44"/>
    </row>
    <row r="64" spans="1:22" x14ac:dyDescent="0.25">
      <c r="Q64" s="44"/>
      <c r="R64" s="44"/>
      <c r="S64" s="44"/>
      <c r="T64" s="44"/>
      <c r="U64" s="44"/>
    </row>
    <row r="65" spans="1:257" ht="15.75" x14ac:dyDescent="0.25">
      <c r="A65" s="34" t="s">
        <v>76</v>
      </c>
      <c r="B65" s="46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  <c r="DE65" s="47"/>
      <c r="DF65" s="47"/>
      <c r="DG65" s="47"/>
      <c r="DH65" s="47"/>
      <c r="DI65" s="47"/>
      <c r="DJ65" s="47"/>
      <c r="DK65" s="47"/>
      <c r="DL65" s="47"/>
      <c r="DM65" s="47"/>
      <c r="DN65" s="47"/>
      <c r="DO65" s="47"/>
      <c r="DP65" s="47"/>
      <c r="DQ65" s="47"/>
      <c r="DR65" s="47"/>
      <c r="DS65" s="47"/>
      <c r="DT65" s="47"/>
      <c r="DU65" s="47"/>
      <c r="DV65" s="47"/>
      <c r="DW65" s="47"/>
      <c r="DX65" s="47"/>
      <c r="DY65" s="47"/>
      <c r="DZ65" s="47"/>
      <c r="EA65" s="47"/>
      <c r="EB65" s="47"/>
      <c r="EC65" s="47"/>
      <c r="ED65" s="47"/>
      <c r="EE65" s="47"/>
      <c r="EF65" s="47"/>
      <c r="EG65" s="47"/>
      <c r="EH65" s="47"/>
      <c r="EI65" s="47"/>
      <c r="EJ65" s="47"/>
      <c r="EK65" s="47"/>
      <c r="EL65" s="47"/>
      <c r="EM65" s="47"/>
      <c r="EN65" s="47"/>
      <c r="EO65" s="47"/>
      <c r="EP65" s="47"/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  <c r="FF65" s="47"/>
      <c r="FG65" s="47"/>
      <c r="FH65" s="47"/>
      <c r="FI65" s="47"/>
      <c r="FJ65" s="47"/>
      <c r="FK65" s="47"/>
      <c r="FL65" s="47"/>
      <c r="FM65" s="47"/>
      <c r="FN65" s="47"/>
      <c r="FO65" s="47"/>
      <c r="FP65" s="47"/>
      <c r="FQ65" s="47"/>
      <c r="FR65" s="47"/>
      <c r="FS65" s="47"/>
      <c r="FT65" s="47"/>
      <c r="FU65" s="47"/>
      <c r="FV65" s="47"/>
      <c r="FW65" s="47"/>
      <c r="FX65" s="47"/>
      <c r="FY65" s="47"/>
      <c r="FZ65" s="47"/>
      <c r="GA65" s="47"/>
      <c r="GB65" s="47"/>
      <c r="GC65" s="47"/>
      <c r="GD65" s="47"/>
      <c r="GE65" s="47"/>
      <c r="GF65" s="47"/>
      <c r="GG65" s="47"/>
      <c r="GH65" s="47"/>
      <c r="GI65" s="47"/>
      <c r="GJ65" s="47"/>
      <c r="GK65" s="47"/>
      <c r="GL65" s="47"/>
      <c r="GM65" s="47"/>
      <c r="GN65" s="47"/>
      <c r="GO65" s="47"/>
      <c r="GP65" s="47"/>
      <c r="GQ65" s="47"/>
      <c r="GR65" s="47"/>
      <c r="GS65" s="47"/>
      <c r="GT65" s="47"/>
      <c r="GU65" s="47"/>
      <c r="GV65" s="47"/>
      <c r="GW65" s="47"/>
      <c r="GX65" s="47"/>
      <c r="GY65" s="47"/>
      <c r="GZ65" s="47"/>
      <c r="HA65" s="47"/>
      <c r="HB65" s="47"/>
      <c r="HC65" s="47"/>
      <c r="HD65" s="47"/>
      <c r="HE65" s="47"/>
      <c r="HF65" s="47"/>
      <c r="HG65" s="47"/>
      <c r="HH65" s="47"/>
      <c r="HI65" s="47"/>
      <c r="HJ65" s="47"/>
      <c r="HK65" s="47"/>
      <c r="HL65" s="47"/>
      <c r="HM65" s="47"/>
      <c r="HN65" s="47"/>
      <c r="HO65" s="47"/>
      <c r="HP65" s="47"/>
      <c r="HQ65" s="47"/>
      <c r="HR65" s="47"/>
      <c r="HS65" s="47"/>
      <c r="HT65" s="47"/>
      <c r="HU65" s="47"/>
      <c r="HV65" s="47"/>
      <c r="HW65" s="47"/>
      <c r="HX65" s="47"/>
      <c r="HY65" s="47"/>
      <c r="HZ65" s="47"/>
      <c r="IA65" s="47"/>
      <c r="IB65" s="47"/>
      <c r="IC65" s="47"/>
      <c r="ID65" s="47"/>
      <c r="IE65" s="47"/>
      <c r="IF65" s="47"/>
      <c r="IG65" s="47"/>
      <c r="IH65" s="47"/>
      <c r="II65" s="47"/>
      <c r="IJ65" s="47"/>
      <c r="IK65" s="47"/>
      <c r="IL65" s="47"/>
      <c r="IM65" s="47"/>
      <c r="IN65" s="47"/>
      <c r="IO65" s="47"/>
      <c r="IP65" s="47"/>
      <c r="IQ65" s="47"/>
      <c r="IR65" s="47"/>
      <c r="IS65" s="47"/>
      <c r="IT65" s="47"/>
      <c r="IU65" s="47"/>
      <c r="IV65" s="47"/>
      <c r="IW65" s="47"/>
    </row>
    <row r="66" spans="1:257" ht="15.75" x14ac:dyDescent="0.25">
      <c r="A66" s="34"/>
      <c r="B66" s="46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47"/>
      <c r="DF66" s="47"/>
      <c r="DG66" s="47"/>
      <c r="DH66" s="47"/>
      <c r="DI66" s="47"/>
      <c r="DJ66" s="47"/>
      <c r="DK66" s="47"/>
      <c r="DL66" s="47"/>
      <c r="DM66" s="47"/>
      <c r="DN66" s="47"/>
      <c r="DO66" s="47"/>
      <c r="DP66" s="47"/>
      <c r="DQ66" s="47"/>
      <c r="DR66" s="47"/>
      <c r="DS66" s="47"/>
      <c r="DT66" s="47"/>
      <c r="DU66" s="47"/>
      <c r="DV66" s="47"/>
      <c r="DW66" s="47"/>
      <c r="DX66" s="47"/>
      <c r="DY66" s="47"/>
      <c r="DZ66" s="47"/>
      <c r="EA66" s="47"/>
      <c r="EB66" s="47"/>
      <c r="EC66" s="47"/>
      <c r="ED66" s="47"/>
      <c r="EE66" s="47"/>
      <c r="EF66" s="47"/>
      <c r="EG66" s="47"/>
      <c r="EH66" s="47"/>
      <c r="EI66" s="47"/>
      <c r="EJ66" s="47"/>
      <c r="EK66" s="47"/>
      <c r="EL66" s="47"/>
      <c r="EM66" s="47"/>
      <c r="EN66" s="47"/>
      <c r="EO66" s="47"/>
      <c r="EP66" s="47"/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  <c r="FF66" s="47"/>
      <c r="FG66" s="47"/>
      <c r="FH66" s="47"/>
      <c r="FI66" s="47"/>
      <c r="FJ66" s="47"/>
      <c r="FK66" s="47"/>
      <c r="FL66" s="47"/>
      <c r="FM66" s="47"/>
      <c r="FN66" s="47"/>
      <c r="FO66" s="47"/>
      <c r="FP66" s="47"/>
      <c r="FQ66" s="47"/>
      <c r="FR66" s="47"/>
      <c r="FS66" s="47"/>
      <c r="FT66" s="47"/>
      <c r="FU66" s="47"/>
      <c r="FV66" s="47"/>
      <c r="FW66" s="47"/>
      <c r="FX66" s="47"/>
      <c r="FY66" s="47"/>
      <c r="FZ66" s="47"/>
      <c r="GA66" s="47"/>
      <c r="GB66" s="47"/>
      <c r="GC66" s="47"/>
      <c r="GD66" s="47"/>
      <c r="GE66" s="47"/>
      <c r="GF66" s="47"/>
      <c r="GG66" s="47"/>
      <c r="GH66" s="47"/>
      <c r="GI66" s="47"/>
      <c r="GJ66" s="47"/>
      <c r="GK66" s="47"/>
      <c r="GL66" s="47"/>
      <c r="GM66" s="47"/>
      <c r="GN66" s="47"/>
      <c r="GO66" s="47"/>
      <c r="GP66" s="47"/>
      <c r="GQ66" s="47"/>
      <c r="GR66" s="47"/>
      <c r="GS66" s="47"/>
      <c r="GT66" s="47"/>
      <c r="GU66" s="47"/>
      <c r="GV66" s="47"/>
      <c r="GW66" s="47"/>
      <c r="GX66" s="47"/>
      <c r="GY66" s="47"/>
      <c r="GZ66" s="47"/>
      <c r="HA66" s="47"/>
      <c r="HB66" s="47"/>
      <c r="HC66" s="47"/>
      <c r="HD66" s="47"/>
      <c r="HE66" s="47"/>
      <c r="HF66" s="47"/>
      <c r="HG66" s="47"/>
      <c r="HH66" s="47"/>
      <c r="HI66" s="47"/>
      <c r="HJ66" s="47"/>
      <c r="HK66" s="47"/>
      <c r="HL66" s="47"/>
      <c r="HM66" s="47"/>
      <c r="HN66" s="47"/>
      <c r="HO66" s="47"/>
      <c r="HP66" s="47"/>
      <c r="HQ66" s="47"/>
      <c r="HR66" s="47"/>
      <c r="HS66" s="47"/>
      <c r="HT66" s="47"/>
      <c r="HU66" s="47"/>
      <c r="HV66" s="47"/>
      <c r="HW66" s="47"/>
      <c r="HX66" s="47"/>
      <c r="HY66" s="47"/>
      <c r="HZ66" s="47"/>
      <c r="IA66" s="47"/>
      <c r="IB66" s="47"/>
      <c r="IC66" s="47"/>
      <c r="ID66" s="47"/>
      <c r="IE66" s="47"/>
      <c r="IF66" s="47"/>
      <c r="IG66" s="47"/>
      <c r="IH66" s="47"/>
      <c r="II66" s="47"/>
      <c r="IJ66" s="47"/>
      <c r="IK66" s="47"/>
      <c r="IL66" s="47"/>
      <c r="IM66" s="47"/>
      <c r="IN66" s="47"/>
      <c r="IO66" s="47"/>
      <c r="IP66" s="47"/>
      <c r="IQ66" s="47"/>
      <c r="IR66" s="47"/>
      <c r="IS66" s="47"/>
      <c r="IT66" s="47"/>
      <c r="IU66" s="47"/>
      <c r="IV66" s="47"/>
      <c r="IW66" s="47"/>
    </row>
    <row r="67" spans="1:257" ht="15.75" x14ac:dyDescent="0.25">
      <c r="A67" s="34" t="s">
        <v>77</v>
      </c>
      <c r="B67" s="46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47"/>
      <c r="DM67" s="47"/>
      <c r="DN67" s="47"/>
      <c r="DO67" s="47"/>
      <c r="DP67" s="47"/>
      <c r="DQ67" s="47"/>
      <c r="DR67" s="47"/>
      <c r="DS67" s="47"/>
      <c r="DT67" s="47"/>
      <c r="DU67" s="47"/>
      <c r="DV67" s="47"/>
      <c r="DW67" s="47"/>
      <c r="DX67" s="47"/>
      <c r="DY67" s="47"/>
      <c r="DZ67" s="47"/>
      <c r="EA67" s="47"/>
      <c r="EB67" s="47"/>
      <c r="EC67" s="47"/>
      <c r="ED67" s="47"/>
      <c r="EE67" s="47"/>
      <c r="EF67" s="47"/>
      <c r="EG67" s="47"/>
      <c r="EH67" s="47"/>
      <c r="EI67" s="47"/>
      <c r="EJ67" s="47"/>
      <c r="EK67" s="47"/>
      <c r="EL67" s="47"/>
      <c r="EM67" s="47"/>
      <c r="EN67" s="47"/>
      <c r="EO67" s="47"/>
      <c r="EP67" s="47"/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  <c r="FF67" s="47"/>
      <c r="FG67" s="47"/>
      <c r="FH67" s="47"/>
      <c r="FI67" s="47"/>
      <c r="FJ67" s="47"/>
      <c r="FK67" s="47"/>
      <c r="FL67" s="47"/>
      <c r="FM67" s="47"/>
      <c r="FN67" s="47"/>
      <c r="FO67" s="47"/>
      <c r="FP67" s="47"/>
      <c r="FQ67" s="47"/>
      <c r="FR67" s="47"/>
      <c r="FS67" s="47"/>
      <c r="FT67" s="47"/>
      <c r="FU67" s="47"/>
      <c r="FV67" s="47"/>
      <c r="FW67" s="47"/>
      <c r="FX67" s="47"/>
      <c r="FY67" s="47"/>
      <c r="FZ67" s="47"/>
      <c r="GA67" s="47"/>
      <c r="GB67" s="47"/>
      <c r="GC67" s="47"/>
      <c r="GD67" s="47"/>
      <c r="GE67" s="47"/>
      <c r="GF67" s="47"/>
      <c r="GG67" s="47"/>
      <c r="GH67" s="47"/>
      <c r="GI67" s="47"/>
      <c r="GJ67" s="47"/>
      <c r="GK67" s="47"/>
      <c r="GL67" s="47"/>
      <c r="GM67" s="47"/>
      <c r="GN67" s="47"/>
      <c r="GO67" s="47"/>
      <c r="GP67" s="47"/>
      <c r="GQ67" s="47"/>
      <c r="GR67" s="47"/>
      <c r="GS67" s="47"/>
      <c r="GT67" s="47"/>
      <c r="GU67" s="47"/>
      <c r="GV67" s="47"/>
      <c r="GW67" s="47"/>
      <c r="GX67" s="47"/>
      <c r="GY67" s="47"/>
      <c r="GZ67" s="47"/>
      <c r="HA67" s="47"/>
      <c r="HB67" s="47"/>
      <c r="HC67" s="47"/>
      <c r="HD67" s="47"/>
      <c r="HE67" s="47"/>
      <c r="HF67" s="47"/>
      <c r="HG67" s="47"/>
      <c r="HH67" s="47"/>
      <c r="HI67" s="47"/>
      <c r="HJ67" s="47"/>
      <c r="HK67" s="47"/>
      <c r="HL67" s="47"/>
      <c r="HM67" s="47"/>
      <c r="HN67" s="47"/>
      <c r="HO67" s="47"/>
      <c r="HP67" s="47"/>
      <c r="HQ67" s="47"/>
      <c r="HR67" s="47"/>
      <c r="HS67" s="47"/>
      <c r="HT67" s="47"/>
      <c r="HU67" s="47"/>
      <c r="HV67" s="47"/>
      <c r="HW67" s="47"/>
      <c r="HX67" s="47"/>
      <c r="HY67" s="47"/>
      <c r="HZ67" s="47"/>
      <c r="IA67" s="47"/>
      <c r="IB67" s="47"/>
      <c r="IC67" s="47"/>
      <c r="ID67" s="47"/>
      <c r="IE67" s="47"/>
      <c r="IF67" s="47"/>
      <c r="IG67" s="47"/>
      <c r="IH67" s="47"/>
      <c r="II67" s="47"/>
      <c r="IJ67" s="47"/>
      <c r="IK67" s="47"/>
      <c r="IL67" s="47"/>
      <c r="IM67" s="47"/>
      <c r="IN67" s="47"/>
      <c r="IO67" s="47"/>
      <c r="IP67" s="47"/>
      <c r="IQ67" s="47"/>
      <c r="IR67" s="47"/>
      <c r="IS67" s="47"/>
      <c r="IT67" s="47"/>
      <c r="IU67" s="47"/>
      <c r="IV67" s="47"/>
      <c r="IW67" s="47"/>
    </row>
    <row r="70" spans="1:257" x14ac:dyDescent="0.25">
      <c r="A70" s="44" t="s">
        <v>103</v>
      </c>
    </row>
    <row r="71" spans="1:257" x14ac:dyDescent="0.25">
      <c r="A71" s="45" t="s">
        <v>105</v>
      </c>
      <c r="B71" s="62">
        <v>25849.02</v>
      </c>
      <c r="C71" s="61"/>
    </row>
    <row r="72" spans="1:257" x14ac:dyDescent="0.25">
      <c r="A72" s="45" t="s">
        <v>106</v>
      </c>
      <c r="B72" s="62">
        <v>32494.291000000001</v>
      </c>
      <c r="C72" s="61"/>
    </row>
    <row r="73" spans="1:257" x14ac:dyDescent="0.25">
      <c r="A73" s="45" t="s">
        <v>107</v>
      </c>
      <c r="B73" s="62">
        <v>36686.252</v>
      </c>
      <c r="C73" s="61"/>
    </row>
    <row r="74" spans="1:257" x14ac:dyDescent="0.25">
      <c r="A74" s="45" t="s">
        <v>108</v>
      </c>
      <c r="B74" s="62">
        <v>35749.144999999997</v>
      </c>
      <c r="C74" s="61"/>
    </row>
    <row r="75" spans="1:257" x14ac:dyDescent="0.25">
      <c r="A75" s="45" t="s">
        <v>109</v>
      </c>
      <c r="B75" s="62">
        <v>38809.540999999997</v>
      </c>
      <c r="C75" s="61"/>
    </row>
    <row r="76" spans="1:257" x14ac:dyDescent="0.25">
      <c r="A76" s="45" t="s">
        <v>110</v>
      </c>
      <c r="B76" s="62">
        <v>41880.887000000002</v>
      </c>
      <c r="C76" s="61"/>
    </row>
    <row r="77" spans="1:257" x14ac:dyDescent="0.25">
      <c r="A77" s="45" t="s">
        <v>111</v>
      </c>
      <c r="B77" s="62">
        <v>51145.754000000001</v>
      </c>
      <c r="C77" s="61"/>
    </row>
    <row r="78" spans="1:257" x14ac:dyDescent="0.25">
      <c r="A78" s="45" t="s">
        <v>112</v>
      </c>
      <c r="B78" s="62">
        <v>52174.214</v>
      </c>
      <c r="C78" s="61"/>
    </row>
    <row r="79" spans="1:257" x14ac:dyDescent="0.25">
      <c r="A79" s="45" t="s">
        <v>113</v>
      </c>
      <c r="B79" s="62">
        <v>49463.654999999999</v>
      </c>
      <c r="C79" s="61"/>
    </row>
    <row r="80" spans="1:257" x14ac:dyDescent="0.25">
      <c r="A80" s="45" t="s">
        <v>114</v>
      </c>
      <c r="B80" s="62">
        <v>55851.82</v>
      </c>
      <c r="C80" s="61"/>
    </row>
    <row r="81" spans="1:3" x14ac:dyDescent="0.25">
      <c r="A81" s="45" t="s">
        <v>115</v>
      </c>
      <c r="B81" s="62">
        <v>63360.023999999998</v>
      </c>
      <c r="C81" s="61"/>
    </row>
    <row r="82" spans="1:3" x14ac:dyDescent="0.25">
      <c r="A82" s="45" t="s">
        <v>116</v>
      </c>
      <c r="B82" s="62">
        <v>70945.453999999998</v>
      </c>
      <c r="C82" s="61"/>
    </row>
    <row r="83" spans="1:3" x14ac:dyDescent="0.25">
      <c r="A83" s="45" t="s">
        <v>104</v>
      </c>
      <c r="B83" s="62">
        <f>SUM(B71:B82)</f>
        <v>554410.05699999991</v>
      </c>
      <c r="C83" s="61"/>
    </row>
  </sheetData>
  <mergeCells count="8">
    <mergeCell ref="J1:K1"/>
    <mergeCell ref="Q5:U6"/>
    <mergeCell ref="A2:K2"/>
    <mergeCell ref="A3:K3"/>
    <mergeCell ref="A5:A6"/>
    <mergeCell ref="B5:F6"/>
    <mergeCell ref="G5:K6"/>
    <mergeCell ref="L5:P6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 </vt:lpstr>
      <vt:lpstr>октябрь</vt:lpstr>
      <vt:lpstr>ноябрь</vt:lpstr>
      <vt:lpstr>декабрь</vt:lpstr>
      <vt:lpstr>декабрь!Область_печати</vt:lpstr>
      <vt:lpstr>'сентябрь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Ksenia I. Syrtlanova</dc:creator>
  <cp:lastModifiedBy>Дудник Ольга Александровна</cp:lastModifiedBy>
  <cp:lastPrinted>2014-03-20T11:20:53Z</cp:lastPrinted>
  <dcterms:created xsi:type="dcterms:W3CDTF">2011-05-30T08:09:34Z</dcterms:created>
  <dcterms:modified xsi:type="dcterms:W3CDTF">2026-10-16T07:53:03Z</dcterms:modified>
</cp:coreProperties>
</file>